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005" windowHeight="12000"/>
  </bookViews>
  <sheets>
    <sheet name="Stavební rozpočet" sheetId="1" r:id="rId1"/>
    <sheet name="Krycí list rozpočtu" sheetId="2" r:id="rId2"/>
  </sheets>
  <calcPr calcId="125725" iterateCount="1"/>
</workbook>
</file>

<file path=xl/calcChain.xml><?xml version="1.0" encoding="utf-8"?>
<calcChain xmlns="http://schemas.openxmlformats.org/spreadsheetml/2006/main">
  <c r="AS1" i="1"/>
  <c r="AT1"/>
  <c r="AU1"/>
  <c r="J13"/>
  <c r="L13"/>
  <c r="AB13"/>
  <c r="AF13"/>
  <c r="AJ13"/>
  <c r="AS12" s="1"/>
  <c r="AK13"/>
  <c r="AL13"/>
  <c r="AU12" s="1"/>
  <c r="AO13"/>
  <c r="AP13"/>
  <c r="BI13" s="1"/>
  <c r="AW13"/>
  <c r="BD13"/>
  <c r="BF13"/>
  <c r="BH13"/>
  <c r="AD13" s="1"/>
  <c r="BJ13"/>
  <c r="L15"/>
  <c r="AL15" s="1"/>
  <c r="Z15"/>
  <c r="AB15"/>
  <c r="AJ15"/>
  <c r="AK15"/>
  <c r="AO15"/>
  <c r="AP15"/>
  <c r="BD15"/>
  <c r="BF15"/>
  <c r="BH15"/>
  <c r="AF15" s="1"/>
  <c r="BI15"/>
  <c r="BJ15"/>
  <c r="AH15" s="1"/>
  <c r="J18"/>
  <c r="L18"/>
  <c r="AB18"/>
  <c r="AF18"/>
  <c r="AJ18"/>
  <c r="AK18"/>
  <c r="AL18"/>
  <c r="AU17" s="1"/>
  <c r="AO18"/>
  <c r="AP18"/>
  <c r="AW18"/>
  <c r="BD18"/>
  <c r="BF18"/>
  <c r="BH18"/>
  <c r="AD18" s="1"/>
  <c r="BJ18"/>
  <c r="L20"/>
  <c r="AL20" s="1"/>
  <c r="Z20"/>
  <c r="AJ20"/>
  <c r="AK20"/>
  <c r="AO20"/>
  <c r="BH20" s="1"/>
  <c r="AP20"/>
  <c r="BD20"/>
  <c r="BF20"/>
  <c r="BJ20"/>
  <c r="AH20" s="1"/>
  <c r="L22"/>
  <c r="AK22" s="1"/>
  <c r="Z22"/>
  <c r="AC22"/>
  <c r="AH22"/>
  <c r="AJ22"/>
  <c r="AS17" s="1"/>
  <c r="AL22"/>
  <c r="AO22"/>
  <c r="BH22" s="1"/>
  <c r="AP22"/>
  <c r="K22" s="1"/>
  <c r="AX22"/>
  <c r="BD22"/>
  <c r="BF22"/>
  <c r="BI22"/>
  <c r="AG22" s="1"/>
  <c r="BJ22"/>
  <c r="L25"/>
  <c r="AL25" s="1"/>
  <c r="Z25"/>
  <c r="AJ25"/>
  <c r="AK25"/>
  <c r="AO25"/>
  <c r="BH25" s="1"/>
  <c r="AP25"/>
  <c r="BD25"/>
  <c r="BF25"/>
  <c r="BJ25"/>
  <c r="AH25" s="1"/>
  <c r="L27"/>
  <c r="AK27" s="1"/>
  <c r="Z27"/>
  <c r="AC27"/>
  <c r="AH27"/>
  <c r="AJ27"/>
  <c r="AL27"/>
  <c r="AO27"/>
  <c r="BH27" s="1"/>
  <c r="AP27"/>
  <c r="K27" s="1"/>
  <c r="AX27"/>
  <c r="BD27"/>
  <c r="BF27"/>
  <c r="BI27"/>
  <c r="AG27" s="1"/>
  <c r="BJ27"/>
  <c r="K29"/>
  <c r="L29"/>
  <c r="AJ29" s="1"/>
  <c r="AB29"/>
  <c r="AC29"/>
  <c r="AG29"/>
  <c r="AH29"/>
  <c r="AO29"/>
  <c r="J29" s="1"/>
  <c r="AP29"/>
  <c r="AW29"/>
  <c r="BC29" s="1"/>
  <c r="AX29"/>
  <c r="BD29"/>
  <c r="BF29"/>
  <c r="BH29"/>
  <c r="AF29" s="1"/>
  <c r="BI29"/>
  <c r="AE29" s="1"/>
  <c r="BJ29"/>
  <c r="Z29" s="1"/>
  <c r="J31"/>
  <c r="K31"/>
  <c r="L31"/>
  <c r="Z31"/>
  <c r="AB31"/>
  <c r="AC31"/>
  <c r="AF31"/>
  <c r="AG31"/>
  <c r="AJ31"/>
  <c r="AK31"/>
  <c r="AL31"/>
  <c r="AO31"/>
  <c r="AP31"/>
  <c r="AX31" s="1"/>
  <c r="AW31"/>
  <c r="AV31" s="1"/>
  <c r="BD31"/>
  <c r="BF31"/>
  <c r="BH31"/>
  <c r="AD31" s="1"/>
  <c r="BI31"/>
  <c r="AE31" s="1"/>
  <c r="BJ31"/>
  <c r="AH31" s="1"/>
  <c r="J33"/>
  <c r="L33"/>
  <c r="Z33"/>
  <c r="AB33"/>
  <c r="AF33"/>
  <c r="AH33"/>
  <c r="AJ33"/>
  <c r="AO33"/>
  <c r="AW33" s="1"/>
  <c r="AP33"/>
  <c r="K33" s="1"/>
  <c r="AV33"/>
  <c r="AX33"/>
  <c r="BC33" s="1"/>
  <c r="BD33"/>
  <c r="BF33"/>
  <c r="BH33"/>
  <c r="AD33" s="1"/>
  <c r="BI33"/>
  <c r="AG33" s="1"/>
  <c r="BJ33"/>
  <c r="K35"/>
  <c r="L35"/>
  <c r="Z35"/>
  <c r="AE35"/>
  <c r="AG35"/>
  <c r="AH35"/>
  <c r="AO35"/>
  <c r="J35" s="1"/>
  <c r="AP35"/>
  <c r="AW35"/>
  <c r="AX35"/>
  <c r="BD35"/>
  <c r="BF35"/>
  <c r="BH35"/>
  <c r="AF35" s="1"/>
  <c r="BI35"/>
  <c r="AC35" s="1"/>
  <c r="BJ35"/>
  <c r="J38"/>
  <c r="L38"/>
  <c r="AJ38" s="1"/>
  <c r="Z38"/>
  <c r="AB38"/>
  <c r="AF38"/>
  <c r="AO38"/>
  <c r="AW38" s="1"/>
  <c r="AV38" s="1"/>
  <c r="AP38"/>
  <c r="K38" s="1"/>
  <c r="AX38"/>
  <c r="BC38" s="1"/>
  <c r="BD38"/>
  <c r="BF38"/>
  <c r="BH38"/>
  <c r="AD38" s="1"/>
  <c r="BI38"/>
  <c r="AG38" s="1"/>
  <c r="BJ38"/>
  <c r="AH38" s="1"/>
  <c r="L40"/>
  <c r="Z40"/>
  <c r="AH40"/>
  <c r="AO40"/>
  <c r="J40" s="1"/>
  <c r="AP40"/>
  <c r="K40" s="1"/>
  <c r="AW40"/>
  <c r="AX40"/>
  <c r="BD40"/>
  <c r="BF40"/>
  <c r="BH40"/>
  <c r="AF40" s="1"/>
  <c r="BJ40"/>
  <c r="K42"/>
  <c r="L42"/>
  <c r="AK42" s="1"/>
  <c r="AC42"/>
  <c r="AD42"/>
  <c r="AG42"/>
  <c r="AL42"/>
  <c r="AO42"/>
  <c r="J42" s="1"/>
  <c r="AP42"/>
  <c r="AV42"/>
  <c r="AW42"/>
  <c r="BC42" s="1"/>
  <c r="AX42"/>
  <c r="BD42"/>
  <c r="BF42"/>
  <c r="BH42"/>
  <c r="AB42" s="1"/>
  <c r="BI42"/>
  <c r="AE42" s="1"/>
  <c r="BJ42"/>
  <c r="J44"/>
  <c r="L44"/>
  <c r="AB44"/>
  <c r="AF44"/>
  <c r="AJ44"/>
  <c r="AK44"/>
  <c r="AL44"/>
  <c r="AO44"/>
  <c r="AP44"/>
  <c r="AW44"/>
  <c r="BD44"/>
  <c r="BF44"/>
  <c r="BH44"/>
  <c r="AD44" s="1"/>
  <c r="BI44"/>
  <c r="AG44" s="1"/>
  <c r="BJ44"/>
  <c r="L46"/>
  <c r="AL46" s="1"/>
  <c r="Z46"/>
  <c r="AJ46"/>
  <c r="AK46"/>
  <c r="AO46"/>
  <c r="AP46"/>
  <c r="BD46"/>
  <c r="BF46"/>
  <c r="BJ46"/>
  <c r="AH46" s="1"/>
  <c r="L48"/>
  <c r="AK48" s="1"/>
  <c r="Z48"/>
  <c r="AC48"/>
  <c r="AH48"/>
  <c r="AJ48"/>
  <c r="AL48"/>
  <c r="AO48"/>
  <c r="AP48"/>
  <c r="K48" s="1"/>
  <c r="AX48"/>
  <c r="BD48"/>
  <c r="BF48"/>
  <c r="BH48"/>
  <c r="AD48" s="1"/>
  <c r="BI48"/>
  <c r="AG48" s="1"/>
  <c r="BJ48"/>
  <c r="K50"/>
  <c r="L50"/>
  <c r="AJ50" s="1"/>
  <c r="AB50"/>
  <c r="AC50"/>
  <c r="AG50"/>
  <c r="AH50"/>
  <c r="AO50"/>
  <c r="J50" s="1"/>
  <c r="AP50"/>
  <c r="AW50"/>
  <c r="BC50" s="1"/>
  <c r="AX50"/>
  <c r="BD50"/>
  <c r="BF50"/>
  <c r="BH50"/>
  <c r="AF50" s="1"/>
  <c r="BI50"/>
  <c r="AE50" s="1"/>
  <c r="BJ50"/>
  <c r="Z50" s="1"/>
  <c r="L53"/>
  <c r="Z53"/>
  <c r="AC53"/>
  <c r="AH53"/>
  <c r="AJ53"/>
  <c r="AL53"/>
  <c r="AO53"/>
  <c r="AP53"/>
  <c r="K53" s="1"/>
  <c r="AX53"/>
  <c r="BD53"/>
  <c r="BF53"/>
  <c r="BH53"/>
  <c r="BI53"/>
  <c r="AG53" s="1"/>
  <c r="BJ53"/>
  <c r="K56"/>
  <c r="L56"/>
  <c r="AJ56" s="1"/>
  <c r="AB56"/>
  <c r="AC56"/>
  <c r="AG56"/>
  <c r="AH56"/>
  <c r="AK56"/>
  <c r="AO56"/>
  <c r="J56" s="1"/>
  <c r="AP56"/>
  <c r="AW56"/>
  <c r="BC56" s="1"/>
  <c r="AX56"/>
  <c r="BD56"/>
  <c r="BF56"/>
  <c r="BH56"/>
  <c r="AF56" s="1"/>
  <c r="BI56"/>
  <c r="AE56" s="1"/>
  <c r="BJ56"/>
  <c r="Z56" s="1"/>
  <c r="J59"/>
  <c r="K59"/>
  <c r="L59"/>
  <c r="Z59"/>
  <c r="AB59"/>
  <c r="AC59"/>
  <c r="AF59"/>
  <c r="AG59"/>
  <c r="AJ59"/>
  <c r="AK59"/>
  <c r="AL59"/>
  <c r="AO59"/>
  <c r="AP59"/>
  <c r="AX59" s="1"/>
  <c r="AW59"/>
  <c r="BD59"/>
  <c r="BF59"/>
  <c r="BH59"/>
  <c r="AD59" s="1"/>
  <c r="BI59"/>
  <c r="AE59" s="1"/>
  <c r="BJ59"/>
  <c r="AH59" s="1"/>
  <c r="J62"/>
  <c r="L62"/>
  <c r="AB62"/>
  <c r="AF62"/>
  <c r="AO62"/>
  <c r="AW62" s="1"/>
  <c r="BC62" s="1"/>
  <c r="AP62"/>
  <c r="K62" s="1"/>
  <c r="AX62"/>
  <c r="BD62"/>
  <c r="BF62"/>
  <c r="BH62"/>
  <c r="AD62" s="1"/>
  <c r="BI62"/>
  <c r="AG62" s="1"/>
  <c r="BJ62"/>
  <c r="AH62" s="1"/>
  <c r="L64"/>
  <c r="Z64"/>
  <c r="AH64"/>
  <c r="AO64"/>
  <c r="J64" s="1"/>
  <c r="AP64"/>
  <c r="BI64" s="1"/>
  <c r="AW64"/>
  <c r="BD64"/>
  <c r="BF64"/>
  <c r="BH64"/>
  <c r="AF64" s="1"/>
  <c r="BJ64"/>
  <c r="K67"/>
  <c r="L67"/>
  <c r="AK67" s="1"/>
  <c r="AC67"/>
  <c r="AG67"/>
  <c r="AL67"/>
  <c r="AO67"/>
  <c r="J67" s="1"/>
  <c r="AP67"/>
  <c r="AX67"/>
  <c r="BD67"/>
  <c r="BF67"/>
  <c r="BH67"/>
  <c r="AB67" s="1"/>
  <c r="BI67"/>
  <c r="AE67" s="1"/>
  <c r="BJ67"/>
  <c r="J69"/>
  <c r="L69"/>
  <c r="AB69"/>
  <c r="AF69"/>
  <c r="AJ69"/>
  <c r="AK69"/>
  <c r="AL69"/>
  <c r="AO69"/>
  <c r="AP69"/>
  <c r="BI69" s="1"/>
  <c r="AW69"/>
  <c r="BD69"/>
  <c r="BF69"/>
  <c r="BH69"/>
  <c r="AD69" s="1"/>
  <c r="BJ69"/>
  <c r="L73"/>
  <c r="AL73" s="1"/>
  <c r="Z73"/>
  <c r="AJ73"/>
  <c r="AK73"/>
  <c r="AO73"/>
  <c r="AP73"/>
  <c r="BD73"/>
  <c r="BF73"/>
  <c r="BH73"/>
  <c r="AF73" s="1"/>
  <c r="BI73"/>
  <c r="BJ73"/>
  <c r="AH73" s="1"/>
  <c r="L75"/>
  <c r="AK75" s="1"/>
  <c r="Z75"/>
  <c r="AC75"/>
  <c r="AH75"/>
  <c r="AJ75"/>
  <c r="AL75"/>
  <c r="AO75"/>
  <c r="AP75"/>
  <c r="K75" s="1"/>
  <c r="AX75"/>
  <c r="BD75"/>
  <c r="BF75"/>
  <c r="BH75"/>
  <c r="BI75"/>
  <c r="AG75" s="1"/>
  <c r="BJ75"/>
  <c r="L78"/>
  <c r="AL78" s="1"/>
  <c r="Z78"/>
  <c r="AB78"/>
  <c r="AJ78"/>
  <c r="AK78"/>
  <c r="AO78"/>
  <c r="AP78"/>
  <c r="BD78"/>
  <c r="BF78"/>
  <c r="BH78"/>
  <c r="AF78" s="1"/>
  <c r="BI78"/>
  <c r="BJ78"/>
  <c r="AH78" s="1"/>
  <c r="L84"/>
  <c r="AK84" s="1"/>
  <c r="Z84"/>
  <c r="AC84"/>
  <c r="AH84"/>
  <c r="AJ84"/>
  <c r="AL84"/>
  <c r="AO84"/>
  <c r="AP84"/>
  <c r="K84" s="1"/>
  <c r="AX84"/>
  <c r="BD84"/>
  <c r="BF84"/>
  <c r="BH84"/>
  <c r="BI84"/>
  <c r="AG84" s="1"/>
  <c r="BJ84"/>
  <c r="K88"/>
  <c r="L88"/>
  <c r="AJ88" s="1"/>
  <c r="AB88"/>
  <c r="AC88"/>
  <c r="AG88"/>
  <c r="AH88"/>
  <c r="AK88"/>
  <c r="AO88"/>
  <c r="J88" s="1"/>
  <c r="AP88"/>
  <c r="AW88"/>
  <c r="BC88" s="1"/>
  <c r="AX88"/>
  <c r="BD88"/>
  <c r="BF88"/>
  <c r="BH88"/>
  <c r="AF88" s="1"/>
  <c r="BI88"/>
  <c r="AE88" s="1"/>
  <c r="BJ88"/>
  <c r="Z88" s="1"/>
  <c r="J92"/>
  <c r="K92"/>
  <c r="L92"/>
  <c r="Z92"/>
  <c r="AB92"/>
  <c r="AC92"/>
  <c r="AF92"/>
  <c r="AG92"/>
  <c r="AJ92"/>
  <c r="AK92"/>
  <c r="AL92"/>
  <c r="AO92"/>
  <c r="AP92"/>
  <c r="AX92" s="1"/>
  <c r="AW92"/>
  <c r="BC92" s="1"/>
  <c r="BD92"/>
  <c r="BF92"/>
  <c r="BH92"/>
  <c r="AD92" s="1"/>
  <c r="BI92"/>
  <c r="AE92" s="1"/>
  <c r="BJ92"/>
  <c r="AH92" s="1"/>
  <c r="J94"/>
  <c r="L94"/>
  <c r="AB94"/>
  <c r="AF94"/>
  <c r="AO94"/>
  <c r="AW94" s="1"/>
  <c r="AV94" s="1"/>
  <c r="AP94"/>
  <c r="K94" s="1"/>
  <c r="AX94"/>
  <c r="BD94"/>
  <c r="BF94"/>
  <c r="BH94"/>
  <c r="AD94" s="1"/>
  <c r="BI94"/>
  <c r="AG94" s="1"/>
  <c r="BJ94"/>
  <c r="AH94" s="1"/>
  <c r="L96"/>
  <c r="Z96"/>
  <c r="AH96"/>
  <c r="AO96"/>
  <c r="J96" s="1"/>
  <c r="AP96"/>
  <c r="BI96" s="1"/>
  <c r="AW96"/>
  <c r="BD96"/>
  <c r="BF96"/>
  <c r="BH96"/>
  <c r="AF96" s="1"/>
  <c r="BJ96"/>
  <c r="J98"/>
  <c r="K98"/>
  <c r="J99"/>
  <c r="L99"/>
  <c r="AJ99" s="1"/>
  <c r="AS98" s="1"/>
  <c r="AB99"/>
  <c r="AF99"/>
  <c r="AH99"/>
  <c r="AO99"/>
  <c r="AW99" s="1"/>
  <c r="AP99"/>
  <c r="K99" s="1"/>
  <c r="BD99"/>
  <c r="BF99"/>
  <c r="BH99"/>
  <c r="AD99" s="1"/>
  <c r="BJ99"/>
  <c r="Z99" s="1"/>
  <c r="J102"/>
  <c r="K102"/>
  <c r="K101" s="1"/>
  <c r="L102"/>
  <c r="Z102"/>
  <c r="AB102"/>
  <c r="AC102"/>
  <c r="AF102"/>
  <c r="AG102"/>
  <c r="AJ102"/>
  <c r="AK102"/>
  <c r="AL102"/>
  <c r="AO102"/>
  <c r="AP102"/>
  <c r="AX102" s="1"/>
  <c r="AW102"/>
  <c r="BC102" s="1"/>
  <c r="BD102"/>
  <c r="BF102"/>
  <c r="BH102"/>
  <c r="AD102" s="1"/>
  <c r="BI102"/>
  <c r="AE102" s="1"/>
  <c r="BJ102"/>
  <c r="AH102" s="1"/>
  <c r="J104"/>
  <c r="L104"/>
  <c r="AJ104" s="1"/>
  <c r="AB104"/>
  <c r="AF104"/>
  <c r="AO104"/>
  <c r="AW104" s="1"/>
  <c r="AV104" s="1"/>
  <c r="AP104"/>
  <c r="K104" s="1"/>
  <c r="AX104"/>
  <c r="BC104" s="1"/>
  <c r="BD104"/>
  <c r="BF104"/>
  <c r="BH104"/>
  <c r="AD104" s="1"/>
  <c r="BJ104"/>
  <c r="Z104" s="1"/>
  <c r="L106"/>
  <c r="Z106"/>
  <c r="AH106"/>
  <c r="AO106"/>
  <c r="J106" s="1"/>
  <c r="AP106"/>
  <c r="K106" s="1"/>
  <c r="AW106"/>
  <c r="AX106"/>
  <c r="BD106"/>
  <c r="BF106"/>
  <c r="BI106"/>
  <c r="AC106" s="1"/>
  <c r="BJ106"/>
  <c r="K108"/>
  <c r="L108"/>
  <c r="AK108" s="1"/>
  <c r="AC108"/>
  <c r="AG108"/>
  <c r="AL108"/>
  <c r="AO108"/>
  <c r="J108" s="1"/>
  <c r="AP108"/>
  <c r="AV108"/>
  <c r="AW108"/>
  <c r="BC108" s="1"/>
  <c r="AX108"/>
  <c r="BD108"/>
  <c r="BF108"/>
  <c r="BH108"/>
  <c r="AB108" s="1"/>
  <c r="BI108"/>
  <c r="AE108" s="1"/>
  <c r="BJ108"/>
  <c r="L111"/>
  <c r="Z111"/>
  <c r="AE111"/>
  <c r="AG111"/>
  <c r="AH111"/>
  <c r="AO111"/>
  <c r="J111" s="1"/>
  <c r="AP111"/>
  <c r="K111" s="1"/>
  <c r="K110" s="1"/>
  <c r="AW111"/>
  <c r="AX111"/>
  <c r="BD111"/>
  <c r="BF111"/>
  <c r="BH111"/>
  <c r="BI111"/>
  <c r="AC111" s="1"/>
  <c r="BJ111"/>
  <c r="K113"/>
  <c r="L113"/>
  <c r="AK113" s="1"/>
  <c r="AC113"/>
  <c r="AD113"/>
  <c r="AF113"/>
  <c r="AG113"/>
  <c r="AL113"/>
  <c r="AO113"/>
  <c r="J113" s="1"/>
  <c r="J110" s="1"/>
  <c r="AP113"/>
  <c r="AV113"/>
  <c r="AW113"/>
  <c r="BC113" s="1"/>
  <c r="AX113"/>
  <c r="BD113"/>
  <c r="BF113"/>
  <c r="BH113"/>
  <c r="AB113" s="1"/>
  <c r="BI113"/>
  <c r="AE113" s="1"/>
  <c r="BJ113"/>
  <c r="K116"/>
  <c r="K115" s="1"/>
  <c r="L116"/>
  <c r="Z116"/>
  <c r="AH116"/>
  <c r="AJ116"/>
  <c r="AO116"/>
  <c r="J116" s="1"/>
  <c r="J115" s="1"/>
  <c r="AP116"/>
  <c r="AX116" s="1"/>
  <c r="BD116"/>
  <c r="BF116"/>
  <c r="BH116"/>
  <c r="AD116" s="1"/>
  <c r="BI116"/>
  <c r="AC116" s="1"/>
  <c r="BJ116"/>
  <c r="J118"/>
  <c r="K118"/>
  <c r="L118"/>
  <c r="AL118" s="1"/>
  <c r="AC118"/>
  <c r="AD118"/>
  <c r="AF118"/>
  <c r="AG118"/>
  <c r="AH118"/>
  <c r="AO118"/>
  <c r="AP118"/>
  <c r="AW118"/>
  <c r="AX118"/>
  <c r="AV118" s="1"/>
  <c r="BD118"/>
  <c r="BF118"/>
  <c r="BH118"/>
  <c r="AB118" s="1"/>
  <c r="BI118"/>
  <c r="AE118" s="1"/>
  <c r="BJ118"/>
  <c r="Z118" s="1"/>
  <c r="K121"/>
  <c r="K120" s="1"/>
  <c r="L121"/>
  <c r="Z121"/>
  <c r="AH121"/>
  <c r="AJ121"/>
  <c r="AS120" s="1"/>
  <c r="AO121"/>
  <c r="J121" s="1"/>
  <c r="J120" s="1"/>
  <c r="AP121"/>
  <c r="AX121"/>
  <c r="BD121"/>
  <c r="BF121"/>
  <c r="BH121"/>
  <c r="AD121" s="1"/>
  <c r="BI121"/>
  <c r="AC121" s="1"/>
  <c r="BJ121"/>
  <c r="J124"/>
  <c r="J123" s="1"/>
  <c r="L124"/>
  <c r="AL124" s="1"/>
  <c r="AB124"/>
  <c r="AF124"/>
  <c r="AK124"/>
  <c r="AO124"/>
  <c r="AW124" s="1"/>
  <c r="AP124"/>
  <c r="K124" s="1"/>
  <c r="K123" s="1"/>
  <c r="BD124"/>
  <c r="BF124"/>
  <c r="BH124"/>
  <c r="AD124" s="1"/>
  <c r="BI124"/>
  <c r="AE124" s="1"/>
  <c r="BJ124"/>
  <c r="AH124" s="1"/>
  <c r="K128"/>
  <c r="L128"/>
  <c r="Z128"/>
  <c r="AE128"/>
  <c r="AG128"/>
  <c r="AH128"/>
  <c r="AJ128"/>
  <c r="AO128"/>
  <c r="J128" s="1"/>
  <c r="AP128"/>
  <c r="AW128"/>
  <c r="AV128" s="1"/>
  <c r="AX128"/>
  <c r="BD128"/>
  <c r="BF128"/>
  <c r="BH128"/>
  <c r="BI128"/>
  <c r="AC128" s="1"/>
  <c r="BJ128"/>
  <c r="K132"/>
  <c r="AU132"/>
  <c r="J133"/>
  <c r="J132" s="1"/>
  <c r="L133"/>
  <c r="AL133" s="1"/>
  <c r="AH133"/>
  <c r="AJ133"/>
  <c r="AS132" s="1"/>
  <c r="AK133"/>
  <c r="AT132" s="1"/>
  <c r="AO133"/>
  <c r="AW133" s="1"/>
  <c r="BC133" s="1"/>
  <c r="AP133"/>
  <c r="K133" s="1"/>
  <c r="AX133"/>
  <c r="BD133"/>
  <c r="BF133"/>
  <c r="BH133"/>
  <c r="AD133" s="1"/>
  <c r="BI133"/>
  <c r="BJ133"/>
  <c r="Z133" s="1"/>
  <c r="L135"/>
  <c r="AU135"/>
  <c r="J136"/>
  <c r="J135" s="1"/>
  <c r="K136"/>
  <c r="K135" s="1"/>
  <c r="L136"/>
  <c r="AB136"/>
  <c r="AF136"/>
  <c r="AJ136"/>
  <c r="AS135" s="1"/>
  <c r="AK136"/>
  <c r="AT135" s="1"/>
  <c r="AL136"/>
  <c r="AO136"/>
  <c r="AP136"/>
  <c r="AX136" s="1"/>
  <c r="AW136"/>
  <c r="AV136" s="1"/>
  <c r="BC136"/>
  <c r="BD136"/>
  <c r="BF136"/>
  <c r="BH136"/>
  <c r="AD136" s="1"/>
  <c r="BJ136"/>
  <c r="AH136" s="1"/>
  <c r="L139"/>
  <c r="AS139"/>
  <c r="AT139"/>
  <c r="J140"/>
  <c r="J139" s="1"/>
  <c r="K140"/>
  <c r="K139" s="1"/>
  <c r="L140"/>
  <c r="AJ140" s="1"/>
  <c r="AC140"/>
  <c r="AG140"/>
  <c r="AH140"/>
  <c r="AK140"/>
  <c r="AL140"/>
  <c r="AU139" s="1"/>
  <c r="AO140"/>
  <c r="BH140" s="1"/>
  <c r="AP140"/>
  <c r="AW140"/>
  <c r="BC140" s="1"/>
  <c r="AX140"/>
  <c r="BD140"/>
  <c r="BF140"/>
  <c r="BI140"/>
  <c r="AE140" s="1"/>
  <c r="BJ140"/>
  <c r="Z140" s="1"/>
  <c r="L143"/>
  <c r="AJ143" s="1"/>
  <c r="Z143"/>
  <c r="AD143"/>
  <c r="AE143"/>
  <c r="AG143"/>
  <c r="AH143"/>
  <c r="AL143"/>
  <c r="AO143"/>
  <c r="J143" s="1"/>
  <c r="AP143"/>
  <c r="K143" s="1"/>
  <c r="AW143"/>
  <c r="AV143" s="1"/>
  <c r="AX143"/>
  <c r="BD143"/>
  <c r="BF143"/>
  <c r="BH143"/>
  <c r="BI143"/>
  <c r="AC143" s="1"/>
  <c r="BJ143"/>
  <c r="J147"/>
  <c r="K147"/>
  <c r="L147"/>
  <c r="AJ147" s="1"/>
  <c r="AC147"/>
  <c r="AG147"/>
  <c r="AH147"/>
  <c r="AK147"/>
  <c r="AO147"/>
  <c r="AP147"/>
  <c r="AV147"/>
  <c r="AW147"/>
  <c r="BC147" s="1"/>
  <c r="AX147"/>
  <c r="BD147"/>
  <c r="BF147"/>
  <c r="BH147"/>
  <c r="AF147" s="1"/>
  <c r="BI147"/>
  <c r="AE147" s="1"/>
  <c r="BJ147"/>
  <c r="Z147" s="1"/>
  <c r="J150"/>
  <c r="L150"/>
  <c r="Z150"/>
  <c r="AB150"/>
  <c r="AF150"/>
  <c r="AJ150"/>
  <c r="AK150"/>
  <c r="AL150"/>
  <c r="AO150"/>
  <c r="AP150"/>
  <c r="AX150" s="1"/>
  <c r="BC150" s="1"/>
  <c r="AW150"/>
  <c r="BD150"/>
  <c r="BF150"/>
  <c r="BH150"/>
  <c r="AD150" s="1"/>
  <c r="BI150"/>
  <c r="AG150" s="1"/>
  <c r="BJ150"/>
  <c r="AH150" s="1"/>
  <c r="L153"/>
  <c r="AL153" s="1"/>
  <c r="AE153"/>
  <c r="AH153"/>
  <c r="AJ153"/>
  <c r="AK153"/>
  <c r="AO153"/>
  <c r="AW153" s="1"/>
  <c r="AV153" s="1"/>
  <c r="AP153"/>
  <c r="K153" s="1"/>
  <c r="AX153"/>
  <c r="BC153" s="1"/>
  <c r="BD153"/>
  <c r="BF153"/>
  <c r="BI153"/>
  <c r="BJ153"/>
  <c r="Z153" s="1"/>
  <c r="L155"/>
  <c r="AK155" s="1"/>
  <c r="Z155"/>
  <c r="AH155"/>
  <c r="AL155"/>
  <c r="AO155"/>
  <c r="J155" s="1"/>
  <c r="AP155"/>
  <c r="K155" s="1"/>
  <c r="BD155"/>
  <c r="BF155"/>
  <c r="BH155"/>
  <c r="BI155"/>
  <c r="AG155" s="1"/>
  <c r="BJ155"/>
  <c r="J159"/>
  <c r="J158" s="1"/>
  <c r="L159"/>
  <c r="AL159" s="1"/>
  <c r="AU158" s="1"/>
  <c r="Z159"/>
  <c r="AH159"/>
  <c r="AJ159"/>
  <c r="AS158" s="1"/>
  <c r="AO159"/>
  <c r="AW159" s="1"/>
  <c r="BC159" s="1"/>
  <c r="AP159"/>
  <c r="K159" s="1"/>
  <c r="K158" s="1"/>
  <c r="AX159"/>
  <c r="BD159"/>
  <c r="BF159"/>
  <c r="BH159"/>
  <c r="AF159" s="1"/>
  <c r="BI159"/>
  <c r="BJ159"/>
  <c r="J162"/>
  <c r="K162"/>
  <c r="L162"/>
  <c r="AB162"/>
  <c r="AF162"/>
  <c r="AJ162"/>
  <c r="AS161" s="1"/>
  <c r="AK162"/>
  <c r="AL162"/>
  <c r="AO162"/>
  <c r="AP162"/>
  <c r="AX162" s="1"/>
  <c r="AW162"/>
  <c r="AV162" s="1"/>
  <c r="BC162"/>
  <c r="BD162"/>
  <c r="BF162"/>
  <c r="BH162"/>
  <c r="AD162" s="1"/>
  <c r="BJ162"/>
  <c r="AH162" s="1"/>
  <c r="L164"/>
  <c r="AL164" s="1"/>
  <c r="Z164"/>
  <c r="AJ164"/>
  <c r="AK164"/>
  <c r="AO164"/>
  <c r="AW164" s="1"/>
  <c r="AP164"/>
  <c r="K164" s="1"/>
  <c r="BD164"/>
  <c r="BF164"/>
  <c r="BI164"/>
  <c r="AE164" s="1"/>
  <c r="BJ164"/>
  <c r="AH164" s="1"/>
  <c r="K166"/>
  <c r="L166"/>
  <c r="AK166" s="1"/>
  <c r="Z166"/>
  <c r="AD166"/>
  <c r="AH166"/>
  <c r="AJ166"/>
  <c r="AL166"/>
  <c r="AO166"/>
  <c r="J166" s="1"/>
  <c r="AP166"/>
  <c r="AX166" s="1"/>
  <c r="BC166" s="1"/>
  <c r="AW166"/>
  <c r="BD166"/>
  <c r="BF166"/>
  <c r="BH166"/>
  <c r="BJ166"/>
  <c r="L168"/>
  <c r="AJ168" s="1"/>
  <c r="AO168"/>
  <c r="J168" s="1"/>
  <c r="AP168"/>
  <c r="K168" s="1"/>
  <c r="BD168"/>
  <c r="BF168"/>
  <c r="BH168"/>
  <c r="AF168" s="1"/>
  <c r="BI168"/>
  <c r="AE168" s="1"/>
  <c r="BJ168"/>
  <c r="Z168" s="1"/>
  <c r="L170"/>
  <c r="AJ170"/>
  <c r="AK170"/>
  <c r="AL170"/>
  <c r="AO170"/>
  <c r="BH170" s="1"/>
  <c r="AP170"/>
  <c r="AX170" s="1"/>
  <c r="BD170"/>
  <c r="BF170"/>
  <c r="BI170"/>
  <c r="AE170" s="1"/>
  <c r="BJ170"/>
  <c r="AH170" s="1"/>
  <c r="J172"/>
  <c r="L172"/>
  <c r="AK172" s="1"/>
  <c r="AE172"/>
  <c r="AF172"/>
  <c r="AH172"/>
  <c r="AJ172"/>
  <c r="AL172"/>
  <c r="AO172"/>
  <c r="AW172" s="1"/>
  <c r="AP172"/>
  <c r="K172" s="1"/>
  <c r="AV172"/>
  <c r="AX172"/>
  <c r="BC172" s="1"/>
  <c r="BD172"/>
  <c r="BF172"/>
  <c r="BH172"/>
  <c r="AD172" s="1"/>
  <c r="BI172"/>
  <c r="AG172" s="1"/>
  <c r="BJ172"/>
  <c r="Z172" s="1"/>
  <c r="K174"/>
  <c r="L174"/>
  <c r="AS174"/>
  <c r="K175"/>
  <c r="L175"/>
  <c r="Z175"/>
  <c r="AJ175"/>
  <c r="AK175"/>
  <c r="AT174" s="1"/>
  <c r="AL175"/>
  <c r="AU174" s="1"/>
  <c r="AO175"/>
  <c r="J175" s="1"/>
  <c r="AP175"/>
  <c r="AX175" s="1"/>
  <c r="BD175"/>
  <c r="BF175"/>
  <c r="BH175"/>
  <c r="AF175" s="1"/>
  <c r="BI175"/>
  <c r="AG175" s="1"/>
  <c r="BJ175"/>
  <c r="AH175" s="1"/>
  <c r="L179"/>
  <c r="AJ179"/>
  <c r="AK179"/>
  <c r="AL179"/>
  <c r="AO179"/>
  <c r="AW179" s="1"/>
  <c r="AP179"/>
  <c r="K179" s="1"/>
  <c r="BD179"/>
  <c r="BF179"/>
  <c r="BI179"/>
  <c r="AG179" s="1"/>
  <c r="BJ179"/>
  <c r="Z179" s="1"/>
  <c r="J182"/>
  <c r="K182"/>
  <c r="L182"/>
  <c r="Z182"/>
  <c r="AD182"/>
  <c r="AF182"/>
  <c r="AJ182"/>
  <c r="AK182"/>
  <c r="AL182"/>
  <c r="AO182"/>
  <c r="AP182"/>
  <c r="AX182" s="1"/>
  <c r="AW182"/>
  <c r="AV182" s="1"/>
  <c r="BC182"/>
  <c r="BD182"/>
  <c r="BF182"/>
  <c r="BH182"/>
  <c r="AB182" s="1"/>
  <c r="BJ182"/>
  <c r="AH182" s="1"/>
  <c r="L187"/>
  <c r="L181" s="1"/>
  <c r="Z187"/>
  <c r="AH187"/>
  <c r="AJ187"/>
  <c r="AK187"/>
  <c r="AL187"/>
  <c r="AO187"/>
  <c r="AW187" s="1"/>
  <c r="BC187" s="1"/>
  <c r="AP187"/>
  <c r="K187" s="1"/>
  <c r="AX187"/>
  <c r="BD187"/>
  <c r="BF187"/>
  <c r="BH187"/>
  <c r="AF187" s="1"/>
  <c r="BI187"/>
  <c r="AG187" s="1"/>
  <c r="BJ187"/>
  <c r="L188"/>
  <c r="Z188"/>
  <c r="AH188"/>
  <c r="AJ188"/>
  <c r="AK188"/>
  <c r="AL188"/>
  <c r="AO188"/>
  <c r="J188" s="1"/>
  <c r="AP188"/>
  <c r="K188" s="1"/>
  <c r="BD188"/>
  <c r="BF188"/>
  <c r="BI188"/>
  <c r="AG188" s="1"/>
  <c r="BJ188"/>
  <c r="J189"/>
  <c r="K189"/>
  <c r="L189"/>
  <c r="AC189"/>
  <c r="AD189"/>
  <c r="AF189"/>
  <c r="AG189"/>
  <c r="AJ189"/>
  <c r="AK189"/>
  <c r="AL189"/>
  <c r="AO189"/>
  <c r="AP189"/>
  <c r="AV189"/>
  <c r="AW189"/>
  <c r="BC189" s="1"/>
  <c r="AX189"/>
  <c r="BD189"/>
  <c r="BF189"/>
  <c r="BH189"/>
  <c r="AB189" s="1"/>
  <c r="BI189"/>
  <c r="AE189" s="1"/>
  <c r="BJ189"/>
  <c r="Z189" s="1"/>
  <c r="J190"/>
  <c r="L190"/>
  <c r="AB190"/>
  <c r="AF190"/>
  <c r="AJ190"/>
  <c r="AK190"/>
  <c r="AL190"/>
  <c r="AO190"/>
  <c r="AP190"/>
  <c r="K190" s="1"/>
  <c r="AW190"/>
  <c r="BD190"/>
  <c r="BF190"/>
  <c r="BH190"/>
  <c r="AD190" s="1"/>
  <c r="BI190"/>
  <c r="AC190" s="1"/>
  <c r="BJ190"/>
  <c r="Z190" s="1"/>
  <c r="J191"/>
  <c r="L191"/>
  <c r="AL191" s="1"/>
  <c r="AE191"/>
  <c r="AF191"/>
  <c r="AG191"/>
  <c r="AJ191"/>
  <c r="AK191"/>
  <c r="AO191"/>
  <c r="AP191"/>
  <c r="K191" s="1"/>
  <c r="AV191"/>
  <c r="AW191"/>
  <c r="BC191" s="1"/>
  <c r="AX191"/>
  <c r="BD191"/>
  <c r="BF191"/>
  <c r="BH191"/>
  <c r="AD191" s="1"/>
  <c r="BI191"/>
  <c r="AC191" s="1"/>
  <c r="BJ191"/>
  <c r="Z191" s="1"/>
  <c r="J199"/>
  <c r="K199"/>
  <c r="L199"/>
  <c r="AK199" s="1"/>
  <c r="AF199"/>
  <c r="AG199"/>
  <c r="AH199"/>
  <c r="AJ199"/>
  <c r="AO199"/>
  <c r="AP199"/>
  <c r="AW199"/>
  <c r="AV199" s="1"/>
  <c r="AX199"/>
  <c r="BD199"/>
  <c r="BF199"/>
  <c r="BH199"/>
  <c r="AB199" s="1"/>
  <c r="BI199"/>
  <c r="AE199" s="1"/>
  <c r="BJ199"/>
  <c r="Z199" s="1"/>
  <c r="J200"/>
  <c r="K200"/>
  <c r="L200"/>
  <c r="AJ200" s="1"/>
  <c r="AD200"/>
  <c r="AF200"/>
  <c r="AH200"/>
  <c r="AO200"/>
  <c r="AP200"/>
  <c r="BI200" s="1"/>
  <c r="AW200"/>
  <c r="AV200" s="1"/>
  <c r="AX200"/>
  <c r="BD200"/>
  <c r="BF200"/>
  <c r="BH200"/>
  <c r="AB200" s="1"/>
  <c r="BJ200"/>
  <c r="Z200" s="1"/>
  <c r="J201"/>
  <c r="K201"/>
  <c r="L201"/>
  <c r="Z201"/>
  <c r="AB201"/>
  <c r="AE201"/>
  <c r="AG201"/>
  <c r="AJ201"/>
  <c r="AK201"/>
  <c r="AL201"/>
  <c r="AO201"/>
  <c r="AP201"/>
  <c r="AX201" s="1"/>
  <c r="AV201"/>
  <c r="AW201"/>
  <c r="BC201"/>
  <c r="BD201"/>
  <c r="BF201"/>
  <c r="BH201"/>
  <c r="AF201" s="1"/>
  <c r="BI201"/>
  <c r="AC201" s="1"/>
  <c r="BJ201"/>
  <c r="AH201" s="1"/>
  <c r="L202"/>
  <c r="AJ202"/>
  <c r="AK202"/>
  <c r="AL202"/>
  <c r="AO202"/>
  <c r="AW202" s="1"/>
  <c r="AP202"/>
  <c r="K202" s="1"/>
  <c r="BD202"/>
  <c r="BF202"/>
  <c r="BH202"/>
  <c r="AD202" s="1"/>
  <c r="BI202"/>
  <c r="AG202" s="1"/>
  <c r="BJ202"/>
  <c r="Z202" s="1"/>
  <c r="L203"/>
  <c r="Z203"/>
  <c r="AH203"/>
  <c r="AJ203"/>
  <c r="AK203"/>
  <c r="AL203"/>
  <c r="AO203"/>
  <c r="J203" s="1"/>
  <c r="AP203"/>
  <c r="BI203" s="1"/>
  <c r="AW203"/>
  <c r="BD203"/>
  <c r="BF203"/>
  <c r="BJ203"/>
  <c r="J204"/>
  <c r="K204"/>
  <c r="L204"/>
  <c r="AK204" s="1"/>
  <c r="AB204"/>
  <c r="AC204"/>
  <c r="AF204"/>
  <c r="AG204"/>
  <c r="AJ204"/>
  <c r="AL204"/>
  <c r="AO204"/>
  <c r="AP204"/>
  <c r="AV204"/>
  <c r="AW204"/>
  <c r="BC204" s="1"/>
  <c r="AX204"/>
  <c r="BD204"/>
  <c r="BF204"/>
  <c r="BH204"/>
  <c r="AD204" s="1"/>
  <c r="BI204"/>
  <c r="AE204" s="1"/>
  <c r="BJ204"/>
  <c r="AH204" s="1"/>
  <c r="J205"/>
  <c r="K205"/>
  <c r="L205"/>
  <c r="AK205" s="1"/>
  <c r="AB205"/>
  <c r="AF205"/>
  <c r="AG205"/>
  <c r="AJ205"/>
  <c r="AL205"/>
  <c r="AO205"/>
  <c r="AP205"/>
  <c r="AV205"/>
  <c r="AW205"/>
  <c r="BC205" s="1"/>
  <c r="AX205"/>
  <c r="BD205"/>
  <c r="BF205"/>
  <c r="BH205"/>
  <c r="AD205" s="1"/>
  <c r="BI205"/>
  <c r="AE205" s="1"/>
  <c r="BJ205"/>
  <c r="Z205" s="1"/>
  <c r="J206"/>
  <c r="K206"/>
  <c r="L206"/>
  <c r="AL206" s="1"/>
  <c r="AF206"/>
  <c r="AG206"/>
  <c r="AH206"/>
  <c r="AJ206"/>
  <c r="AO206"/>
  <c r="AP206"/>
  <c r="AW206"/>
  <c r="AV206" s="1"/>
  <c r="AX206"/>
  <c r="BD206"/>
  <c r="BF206"/>
  <c r="BH206"/>
  <c r="AD206" s="1"/>
  <c r="BI206"/>
  <c r="AC206" s="1"/>
  <c r="BJ206"/>
  <c r="Z206" s="1"/>
  <c r="J209"/>
  <c r="K209"/>
  <c r="L209"/>
  <c r="AK209" s="1"/>
  <c r="AD209"/>
  <c r="AF209"/>
  <c r="AG209"/>
  <c r="AH209"/>
  <c r="AO209"/>
  <c r="AP209"/>
  <c r="AW209"/>
  <c r="AV209" s="1"/>
  <c r="AX209"/>
  <c r="BC209" s="1"/>
  <c r="BD209"/>
  <c r="BF209"/>
  <c r="BH209"/>
  <c r="AB209" s="1"/>
  <c r="BI209"/>
  <c r="AE209" s="1"/>
  <c r="BJ209"/>
  <c r="Z209" s="1"/>
  <c r="J210"/>
  <c r="K210"/>
  <c r="L210"/>
  <c r="AJ210" s="1"/>
  <c r="AB210"/>
  <c r="AE210"/>
  <c r="AG210"/>
  <c r="AH210"/>
  <c r="AO210"/>
  <c r="AP210"/>
  <c r="AV210"/>
  <c r="AW210"/>
  <c r="AX210"/>
  <c r="BD210"/>
  <c r="BF210"/>
  <c r="BH210"/>
  <c r="AF210" s="1"/>
  <c r="BI210"/>
  <c r="AC210" s="1"/>
  <c r="BJ210"/>
  <c r="Z210" s="1"/>
  <c r="K211"/>
  <c r="L211"/>
  <c r="Z211"/>
  <c r="AJ211"/>
  <c r="AK211"/>
  <c r="AL211"/>
  <c r="AO211"/>
  <c r="J211" s="1"/>
  <c r="AP211"/>
  <c r="AX211" s="1"/>
  <c r="BD211"/>
  <c r="BF211"/>
  <c r="BH211"/>
  <c r="AF211" s="1"/>
  <c r="BI211"/>
  <c r="AC211" s="1"/>
  <c r="BJ211"/>
  <c r="AH211" s="1"/>
  <c r="L214"/>
  <c r="AL214" s="1"/>
  <c r="AJ214"/>
  <c r="AO214"/>
  <c r="AW214" s="1"/>
  <c r="AP214"/>
  <c r="K214" s="1"/>
  <c r="BD214"/>
  <c r="BF214"/>
  <c r="BI214"/>
  <c r="AG214" s="1"/>
  <c r="BJ214"/>
  <c r="Z214" s="1"/>
  <c r="K215"/>
  <c r="L215"/>
  <c r="Z215"/>
  <c r="AE215"/>
  <c r="AG215"/>
  <c r="AH215"/>
  <c r="AJ215"/>
  <c r="AK215"/>
  <c r="AL215"/>
  <c r="AO215"/>
  <c r="J215" s="1"/>
  <c r="AP215"/>
  <c r="AW215"/>
  <c r="AV215" s="1"/>
  <c r="AX215"/>
  <c r="BD215"/>
  <c r="BF215"/>
  <c r="BH215"/>
  <c r="AF215" s="1"/>
  <c r="BI215"/>
  <c r="AC215" s="1"/>
  <c r="BJ215"/>
  <c r="L217"/>
  <c r="Z217"/>
  <c r="AH217"/>
  <c r="AJ217"/>
  <c r="AS216" s="1"/>
  <c r="AK217"/>
  <c r="AL217"/>
  <c r="AO217"/>
  <c r="AW217" s="1"/>
  <c r="BC217" s="1"/>
  <c r="AP217"/>
  <c r="K217" s="1"/>
  <c r="AX217"/>
  <c r="BD217"/>
  <c r="BF217"/>
  <c r="BH217"/>
  <c r="AB217" s="1"/>
  <c r="BI217"/>
  <c r="AG217" s="1"/>
  <c r="BJ217"/>
  <c r="L219"/>
  <c r="AL219" s="1"/>
  <c r="Z219"/>
  <c r="AH219"/>
  <c r="AJ219"/>
  <c r="AO219"/>
  <c r="J219" s="1"/>
  <c r="AP219"/>
  <c r="K219" s="1"/>
  <c r="BD219"/>
  <c r="BF219"/>
  <c r="BI219"/>
  <c r="AC219" s="1"/>
  <c r="BJ219"/>
  <c r="J221"/>
  <c r="K221"/>
  <c r="L221"/>
  <c r="AC221"/>
  <c r="AD221"/>
  <c r="AF221"/>
  <c r="AG221"/>
  <c r="AJ221"/>
  <c r="AK221"/>
  <c r="AL221"/>
  <c r="AO221"/>
  <c r="AP221"/>
  <c r="AV221"/>
  <c r="AW221"/>
  <c r="BC221" s="1"/>
  <c r="AX221"/>
  <c r="BD221"/>
  <c r="BF221"/>
  <c r="BH221"/>
  <c r="AB221" s="1"/>
  <c r="BI221"/>
  <c r="AE221" s="1"/>
  <c r="BJ221"/>
  <c r="Z221" s="1"/>
  <c r="J223"/>
  <c r="L223"/>
  <c r="AB223"/>
  <c r="AF223"/>
  <c r="AJ223"/>
  <c r="AK223"/>
  <c r="AL223"/>
  <c r="AO223"/>
  <c r="AP223"/>
  <c r="K223" s="1"/>
  <c r="AW223"/>
  <c r="BD223"/>
  <c r="BF223"/>
  <c r="BH223"/>
  <c r="AD223" s="1"/>
  <c r="BI223"/>
  <c r="AC223" s="1"/>
  <c r="BJ223"/>
  <c r="Z223" s="1"/>
  <c r="J225"/>
  <c r="L225"/>
  <c r="AL225" s="1"/>
  <c r="AE225"/>
  <c r="AF225"/>
  <c r="AG225"/>
  <c r="AJ225"/>
  <c r="AK225"/>
  <c r="AO225"/>
  <c r="AP225"/>
  <c r="K225" s="1"/>
  <c r="AV225"/>
  <c r="AW225"/>
  <c r="BC225" s="1"/>
  <c r="AX225"/>
  <c r="BD225"/>
  <c r="BF225"/>
  <c r="BH225"/>
  <c r="AD225" s="1"/>
  <c r="BI225"/>
  <c r="AC225" s="1"/>
  <c r="BJ225"/>
  <c r="Z225" s="1"/>
  <c r="J227"/>
  <c r="K227"/>
  <c r="L227"/>
  <c r="AK227" s="1"/>
  <c r="AF227"/>
  <c r="AG227"/>
  <c r="AH227"/>
  <c r="AJ227"/>
  <c r="AL227"/>
  <c r="AO227"/>
  <c r="AP227"/>
  <c r="AW227"/>
  <c r="AV227" s="1"/>
  <c r="AX227"/>
  <c r="BD227"/>
  <c r="BF227"/>
  <c r="BH227"/>
  <c r="AB227" s="1"/>
  <c r="BI227"/>
  <c r="AE227" s="1"/>
  <c r="BJ227"/>
  <c r="Z227" s="1"/>
  <c r="J230"/>
  <c r="K230"/>
  <c r="L230"/>
  <c r="AJ230" s="1"/>
  <c r="AH230"/>
  <c r="AK230"/>
  <c r="AO230"/>
  <c r="BH230" s="1"/>
  <c r="AP230"/>
  <c r="BI230" s="1"/>
  <c r="AW230"/>
  <c r="AV230" s="1"/>
  <c r="AX230"/>
  <c r="BD230"/>
  <c r="BF230"/>
  <c r="BJ230"/>
  <c r="Z230" s="1"/>
  <c r="J232"/>
  <c r="K232"/>
  <c r="L232"/>
  <c r="Z232"/>
  <c r="AE232"/>
  <c r="AG232"/>
  <c r="AJ232"/>
  <c r="AK232"/>
  <c r="AL232"/>
  <c r="AO232"/>
  <c r="AP232"/>
  <c r="AX232" s="1"/>
  <c r="AV232"/>
  <c r="AW232"/>
  <c r="BC232"/>
  <c r="BD232"/>
  <c r="BF232"/>
  <c r="BH232"/>
  <c r="AF232" s="1"/>
  <c r="BI232"/>
  <c r="AC232" s="1"/>
  <c r="BJ232"/>
  <c r="AH232" s="1"/>
  <c r="L234"/>
  <c r="AT234"/>
  <c r="AU234"/>
  <c r="J235"/>
  <c r="J234" s="1"/>
  <c r="L235"/>
  <c r="AJ235" s="1"/>
  <c r="AF235"/>
  <c r="AK235"/>
  <c r="AL235"/>
  <c r="AO235"/>
  <c r="AP235"/>
  <c r="BI235" s="1"/>
  <c r="AV235"/>
  <c r="AW235"/>
  <c r="BC235" s="1"/>
  <c r="AX235"/>
  <c r="BD235"/>
  <c r="BF235"/>
  <c r="BH235"/>
  <c r="AD235" s="1"/>
  <c r="BJ235"/>
  <c r="Z235" s="1"/>
  <c r="J237"/>
  <c r="K237"/>
  <c r="L237"/>
  <c r="AG237"/>
  <c r="AJ237"/>
  <c r="AS234" s="1"/>
  <c r="AK237"/>
  <c r="AL237"/>
  <c r="AO237"/>
  <c r="BH237" s="1"/>
  <c r="AP237"/>
  <c r="AX237" s="1"/>
  <c r="AW237"/>
  <c r="AV237" s="1"/>
  <c r="BD237"/>
  <c r="BF237"/>
  <c r="BI237"/>
  <c r="AE237" s="1"/>
  <c r="BJ237"/>
  <c r="AH237" s="1"/>
  <c r="L239"/>
  <c r="L240"/>
  <c r="AJ240" s="1"/>
  <c r="AK240"/>
  <c r="AL240"/>
  <c r="AU239" s="1"/>
  <c r="AO240"/>
  <c r="BH240" s="1"/>
  <c r="AP240"/>
  <c r="K240" s="1"/>
  <c r="BD240"/>
  <c r="BF240"/>
  <c r="BI240"/>
  <c r="AG240" s="1"/>
  <c r="BJ240"/>
  <c r="Z240" s="1"/>
  <c r="J242"/>
  <c r="L242"/>
  <c r="AD242"/>
  <c r="AF242"/>
  <c r="AJ242"/>
  <c r="AK242"/>
  <c r="AL242"/>
  <c r="AO242"/>
  <c r="AP242"/>
  <c r="AX242" s="1"/>
  <c r="AV242" s="1"/>
  <c r="AW242"/>
  <c r="BC242" s="1"/>
  <c r="BD242"/>
  <c r="BF242"/>
  <c r="BH242"/>
  <c r="AB242" s="1"/>
  <c r="BJ242"/>
  <c r="AH242" s="1"/>
  <c r="J244"/>
  <c r="L244"/>
  <c r="AL244" s="1"/>
  <c r="AH244"/>
  <c r="AO244"/>
  <c r="AW244" s="1"/>
  <c r="AV244" s="1"/>
  <c r="AP244"/>
  <c r="K244" s="1"/>
  <c r="AX244"/>
  <c r="BC244" s="1"/>
  <c r="BD244"/>
  <c r="BF244"/>
  <c r="BI244"/>
  <c r="AG244" s="1"/>
  <c r="BJ244"/>
  <c r="Z244" s="1"/>
  <c r="L246"/>
  <c r="AS246"/>
  <c r="AT246"/>
  <c r="L247"/>
  <c r="AJ247"/>
  <c r="AK247"/>
  <c r="AL247"/>
  <c r="AU246" s="1"/>
  <c r="AO247"/>
  <c r="J247" s="1"/>
  <c r="J246" s="1"/>
  <c r="AP247"/>
  <c r="AX247" s="1"/>
  <c r="BD247"/>
  <c r="BF247"/>
  <c r="BH247"/>
  <c r="AD247" s="1"/>
  <c r="BI247"/>
  <c r="AG247" s="1"/>
  <c r="BJ247"/>
  <c r="AH247" s="1"/>
  <c r="J250"/>
  <c r="J249" s="1"/>
  <c r="K250"/>
  <c r="K249" s="1"/>
  <c r="L250"/>
  <c r="AJ250" s="1"/>
  <c r="AS249" s="1"/>
  <c r="AH250"/>
  <c r="AO250"/>
  <c r="BH250" s="1"/>
  <c r="AP250"/>
  <c r="BI250" s="1"/>
  <c r="AW250"/>
  <c r="AV250" s="1"/>
  <c r="AX250"/>
  <c r="BD250"/>
  <c r="BF250"/>
  <c r="BJ250"/>
  <c r="Z250" s="1"/>
  <c r="AS253"/>
  <c r="L254"/>
  <c r="AD254"/>
  <c r="AF254"/>
  <c r="AJ254"/>
  <c r="AO254"/>
  <c r="J254" s="1"/>
  <c r="J253" s="1"/>
  <c r="AP254"/>
  <c r="K254" s="1"/>
  <c r="K253" s="1"/>
  <c r="AW254"/>
  <c r="BD254"/>
  <c r="BF254"/>
  <c r="BH254"/>
  <c r="AB254" s="1"/>
  <c r="BJ254"/>
  <c r="Z254" s="1"/>
  <c r="J260"/>
  <c r="J261"/>
  <c r="K261"/>
  <c r="K260" s="1"/>
  <c r="L261"/>
  <c r="AL261" s="1"/>
  <c r="AU260" s="1"/>
  <c r="Z261"/>
  <c r="AE261"/>
  <c r="AF261"/>
  <c r="AG261"/>
  <c r="AH261"/>
  <c r="AJ261"/>
  <c r="AS260" s="1"/>
  <c r="AO261"/>
  <c r="AP261"/>
  <c r="AW261"/>
  <c r="AX261"/>
  <c r="AV261" s="1"/>
  <c r="BC261"/>
  <c r="BD261"/>
  <c r="BF261"/>
  <c r="BH261"/>
  <c r="AD261" s="1"/>
  <c r="BI261"/>
  <c r="AC261" s="1"/>
  <c r="BJ261"/>
  <c r="J263"/>
  <c r="L263"/>
  <c r="AS263"/>
  <c r="AU263"/>
  <c r="J264"/>
  <c r="L264"/>
  <c r="AK264" s="1"/>
  <c r="AT263" s="1"/>
  <c r="AB264"/>
  <c r="AC264"/>
  <c r="AF264"/>
  <c r="AJ264"/>
  <c r="AL264"/>
  <c r="AO264"/>
  <c r="AP264"/>
  <c r="K264" s="1"/>
  <c r="K263" s="1"/>
  <c r="AW264"/>
  <c r="BD264"/>
  <c r="BF264"/>
  <c r="BH264"/>
  <c r="AD264" s="1"/>
  <c r="BI264"/>
  <c r="AE264" s="1"/>
  <c r="BJ264"/>
  <c r="Z264" s="1"/>
  <c r="J267"/>
  <c r="J266" s="1"/>
  <c r="K267"/>
  <c r="K266" s="1"/>
  <c r="L267"/>
  <c r="AJ267" s="1"/>
  <c r="AS266" s="1"/>
  <c r="AC267"/>
  <c r="AG267"/>
  <c r="AH267"/>
  <c r="AO267"/>
  <c r="AP267"/>
  <c r="AW267"/>
  <c r="AV267" s="1"/>
  <c r="AX267"/>
  <c r="BD267"/>
  <c r="BF267"/>
  <c r="BH267"/>
  <c r="AF267" s="1"/>
  <c r="BI267"/>
  <c r="AE267" s="1"/>
  <c r="BJ267"/>
  <c r="Z267" s="1"/>
  <c r="L269"/>
  <c r="K270"/>
  <c r="L270"/>
  <c r="Z270"/>
  <c r="AH270"/>
  <c r="AJ270"/>
  <c r="AS269" s="1"/>
  <c r="AK270"/>
  <c r="AT269" s="1"/>
  <c r="AL270"/>
  <c r="AU269" s="1"/>
  <c r="AO270"/>
  <c r="J270" s="1"/>
  <c r="AP270"/>
  <c r="AX270"/>
  <c r="BD270"/>
  <c r="BF270"/>
  <c r="BH270"/>
  <c r="AF270" s="1"/>
  <c r="BI270"/>
  <c r="AG270" s="1"/>
  <c r="BJ270"/>
  <c r="K273"/>
  <c r="L273"/>
  <c r="Z273"/>
  <c r="AB273"/>
  <c r="AC273"/>
  <c r="AG273"/>
  <c r="AH273"/>
  <c r="AJ273"/>
  <c r="AK273"/>
  <c r="AL273"/>
  <c r="AO273"/>
  <c r="J273" s="1"/>
  <c r="J269" s="1"/>
  <c r="AP273"/>
  <c r="AX273"/>
  <c r="BD273"/>
  <c r="BF273"/>
  <c r="BH273"/>
  <c r="AF273" s="1"/>
  <c r="BI273"/>
  <c r="AE273" s="1"/>
  <c r="BJ273"/>
  <c r="J274"/>
  <c r="L274"/>
  <c r="Z274"/>
  <c r="AB274"/>
  <c r="AF274"/>
  <c r="AH274"/>
  <c r="AJ274"/>
  <c r="AK274"/>
  <c r="AL274"/>
  <c r="AO274"/>
  <c r="AP274"/>
  <c r="K274" s="1"/>
  <c r="K269" s="1"/>
  <c r="AW274"/>
  <c r="BD274"/>
  <c r="BF274"/>
  <c r="BH274"/>
  <c r="AD274" s="1"/>
  <c r="BJ274"/>
  <c r="L275"/>
  <c r="AS275"/>
  <c r="AT275"/>
  <c r="J276"/>
  <c r="J275" s="1"/>
  <c r="K276"/>
  <c r="K275" s="1"/>
  <c r="L276"/>
  <c r="AB276"/>
  <c r="AC276"/>
  <c r="AD276"/>
  <c r="AF276"/>
  <c r="AG276"/>
  <c r="AJ276"/>
  <c r="AK276"/>
  <c r="AL276"/>
  <c r="AU275" s="1"/>
  <c r="AO276"/>
  <c r="AP276"/>
  <c r="AV276"/>
  <c r="AW276"/>
  <c r="BC276" s="1"/>
  <c r="AX276"/>
  <c r="BD276"/>
  <c r="BF276"/>
  <c r="BH276"/>
  <c r="BI276"/>
  <c r="AE276" s="1"/>
  <c r="BJ276"/>
  <c r="AH276" s="1"/>
  <c r="K279"/>
  <c r="L279"/>
  <c r="AK279" s="1"/>
  <c r="AT278" s="1"/>
  <c r="Z279"/>
  <c r="AE279"/>
  <c r="AG279"/>
  <c r="AH279"/>
  <c r="AO279"/>
  <c r="J279" s="1"/>
  <c r="AP279"/>
  <c r="AW279"/>
  <c r="AV279" s="1"/>
  <c r="AX279"/>
  <c r="BD279"/>
  <c r="BF279"/>
  <c r="BH279"/>
  <c r="AF279" s="1"/>
  <c r="BI279"/>
  <c r="AC279" s="1"/>
  <c r="BJ279"/>
  <c r="K281"/>
  <c r="L281"/>
  <c r="Z281"/>
  <c r="AB281"/>
  <c r="AC281"/>
  <c r="AG281"/>
  <c r="AH281"/>
  <c r="AJ281"/>
  <c r="AK281"/>
  <c r="AL281"/>
  <c r="AO281"/>
  <c r="J281" s="1"/>
  <c r="AP281"/>
  <c r="AX281"/>
  <c r="BD281"/>
  <c r="BF281"/>
  <c r="BH281"/>
  <c r="AF281" s="1"/>
  <c r="BI281"/>
  <c r="AE281" s="1"/>
  <c r="BJ281"/>
  <c r="J283"/>
  <c r="K283"/>
  <c r="L283"/>
  <c r="Z283"/>
  <c r="AB283"/>
  <c r="AC283"/>
  <c r="AF283"/>
  <c r="AG283"/>
  <c r="AH283"/>
  <c r="AJ283"/>
  <c r="AK283"/>
  <c r="AL283"/>
  <c r="AO283"/>
  <c r="AP283"/>
  <c r="AW283"/>
  <c r="BC283" s="1"/>
  <c r="AX283"/>
  <c r="BD283"/>
  <c r="BF283"/>
  <c r="BH283"/>
  <c r="AD283" s="1"/>
  <c r="BI283"/>
  <c r="AE283" s="1"/>
  <c r="BJ283"/>
  <c r="L285"/>
  <c r="AL285" s="1"/>
  <c r="Z285"/>
  <c r="AH285"/>
  <c r="AJ285"/>
  <c r="AK285"/>
  <c r="AO285"/>
  <c r="BH285" s="1"/>
  <c r="AP285"/>
  <c r="K285" s="1"/>
  <c r="K278" s="1"/>
  <c r="BD285"/>
  <c r="BF285"/>
  <c r="BJ285"/>
  <c r="L287"/>
  <c r="AU287"/>
  <c r="J288"/>
  <c r="K288"/>
  <c r="L288"/>
  <c r="AB288"/>
  <c r="AF288"/>
  <c r="AG288"/>
  <c r="AJ288"/>
  <c r="AK288"/>
  <c r="AL288"/>
  <c r="AO288"/>
  <c r="AP288"/>
  <c r="AV288"/>
  <c r="AW288"/>
  <c r="BC288" s="1"/>
  <c r="AX288"/>
  <c r="BD288"/>
  <c r="BF288"/>
  <c r="BH288"/>
  <c r="AD288" s="1"/>
  <c r="BI288"/>
  <c r="AE288" s="1"/>
  <c r="BJ288"/>
  <c r="Z288" s="1"/>
  <c r="J289"/>
  <c r="K289"/>
  <c r="L289"/>
  <c r="AB289"/>
  <c r="AF289"/>
  <c r="AG289"/>
  <c r="AJ289"/>
  <c r="AK289"/>
  <c r="AL289"/>
  <c r="AO289"/>
  <c r="AP289"/>
  <c r="AV289"/>
  <c r="AW289"/>
  <c r="BC289" s="1"/>
  <c r="AX289"/>
  <c r="BD289"/>
  <c r="BF289"/>
  <c r="BH289"/>
  <c r="AD289" s="1"/>
  <c r="BI289"/>
  <c r="AC289" s="1"/>
  <c r="BJ289"/>
  <c r="AH289" s="1"/>
  <c r="J290"/>
  <c r="L290"/>
  <c r="AB290"/>
  <c r="AF290"/>
  <c r="AJ290"/>
  <c r="AK290"/>
  <c r="AL290"/>
  <c r="AO290"/>
  <c r="AP290"/>
  <c r="K290" s="1"/>
  <c r="AW290"/>
  <c r="BD290"/>
  <c r="BF290"/>
  <c r="BH290"/>
  <c r="AD290" s="1"/>
  <c r="BI290"/>
  <c r="AC290" s="1"/>
  <c r="BJ290"/>
  <c r="Z290" s="1"/>
  <c r="L291"/>
  <c r="AJ291"/>
  <c r="AS287" s="1"/>
  <c r="AK291"/>
  <c r="AL291"/>
  <c r="AO291"/>
  <c r="J291" s="1"/>
  <c r="AP291"/>
  <c r="BI291" s="1"/>
  <c r="BD291"/>
  <c r="BF291"/>
  <c r="BH291"/>
  <c r="AF291" s="1"/>
  <c r="BJ291"/>
  <c r="Z291" s="1"/>
  <c r="C2" i="2"/>
  <c r="F2"/>
  <c r="C4"/>
  <c r="F4"/>
  <c r="C6"/>
  <c r="F6"/>
  <c r="C8"/>
  <c r="F8"/>
  <c r="C10"/>
  <c r="F10"/>
  <c r="I10"/>
  <c r="F22"/>
  <c r="I22"/>
  <c r="AG200" i="1" l="1"/>
  <c r="AE200"/>
  <c r="AC200"/>
  <c r="AB27"/>
  <c r="AF27"/>
  <c r="AD27"/>
  <c r="AF230"/>
  <c r="AD230"/>
  <c r="AB230"/>
  <c r="AD140"/>
  <c r="AF140"/>
  <c r="AB140"/>
  <c r="AG69"/>
  <c r="AE69"/>
  <c r="AC69"/>
  <c r="AG230"/>
  <c r="AE230"/>
  <c r="AC230"/>
  <c r="AB170"/>
  <c r="AD170"/>
  <c r="AF170"/>
  <c r="AB22"/>
  <c r="AF22"/>
  <c r="AD22"/>
  <c r="AD237"/>
  <c r="AF237"/>
  <c r="AB237"/>
  <c r="AG13"/>
  <c r="AC13"/>
  <c r="AE13"/>
  <c r="AS181"/>
  <c r="AS37"/>
  <c r="K216"/>
  <c r="BC190"/>
  <c r="J287"/>
  <c r="AT216"/>
  <c r="K181"/>
  <c r="AD285"/>
  <c r="AF285"/>
  <c r="AB285"/>
  <c r="AE235"/>
  <c r="AC235"/>
  <c r="AG235"/>
  <c r="AC291"/>
  <c r="AE291"/>
  <c r="AG291"/>
  <c r="AC203"/>
  <c r="AG203"/>
  <c r="AE203"/>
  <c r="AC96"/>
  <c r="AG96"/>
  <c r="AE96"/>
  <c r="AF25"/>
  <c r="AD25"/>
  <c r="AB25"/>
  <c r="AV274"/>
  <c r="AU216"/>
  <c r="AF250"/>
  <c r="AD250"/>
  <c r="AB250"/>
  <c r="AB240"/>
  <c r="AD240"/>
  <c r="AF240"/>
  <c r="AC64"/>
  <c r="AG64"/>
  <c r="AE64"/>
  <c r="AE250"/>
  <c r="AC250"/>
  <c r="AG250"/>
  <c r="AF20"/>
  <c r="AB20"/>
  <c r="AD20"/>
  <c r="K239"/>
  <c r="K161"/>
  <c r="AU142"/>
  <c r="AF155"/>
  <c r="AB155"/>
  <c r="AX18"/>
  <c r="AV18" s="1"/>
  <c r="K18"/>
  <c r="AC73"/>
  <c r="AG73"/>
  <c r="AG159"/>
  <c r="AC159"/>
  <c r="AV96"/>
  <c r="BC96"/>
  <c r="AC78"/>
  <c r="AG78"/>
  <c r="AW75"/>
  <c r="J75"/>
  <c r="AX44"/>
  <c r="AV44" s="1"/>
  <c r="K44"/>
  <c r="K37" s="1"/>
  <c r="AC15"/>
  <c r="AG15"/>
  <c r="AF166"/>
  <c r="AB166"/>
  <c r="AL121"/>
  <c r="AU120" s="1"/>
  <c r="L120"/>
  <c r="AK121"/>
  <c r="AT120" s="1"/>
  <c r="AL96"/>
  <c r="C29" i="2" s="1"/>
  <c r="F29" s="1"/>
  <c r="AK96" i="1"/>
  <c r="AJ96"/>
  <c r="AS77" s="1"/>
  <c r="AW84"/>
  <c r="J84"/>
  <c r="AL64"/>
  <c r="AK64"/>
  <c r="AJ64"/>
  <c r="AW53"/>
  <c r="J53"/>
  <c r="J52" s="1"/>
  <c r="AE290"/>
  <c r="BI254"/>
  <c r="AB247"/>
  <c r="AC188"/>
  <c r="AC170"/>
  <c r="AC202"/>
  <c r="AB168"/>
  <c r="AD15"/>
  <c r="AL279"/>
  <c r="AU278" s="1"/>
  <c r="AD273"/>
  <c r="BC267"/>
  <c r="AJ244"/>
  <c r="AS239" s="1"/>
  <c r="L216"/>
  <c r="AH205"/>
  <c r="AE188"/>
  <c r="AV179"/>
  <c r="AC175"/>
  <c r="AC155"/>
  <c r="K64"/>
  <c r="K52" s="1"/>
  <c r="AV59"/>
  <c r="BC18"/>
  <c r="AW291"/>
  <c r="K291"/>
  <c r="K287" s="1"/>
  <c r="AX290"/>
  <c r="AV290" s="1"/>
  <c r="AH290"/>
  <c r="AD281"/>
  <c r="L278"/>
  <c r="AD270"/>
  <c r="AK267"/>
  <c r="AT266" s="1"/>
  <c r="AG264"/>
  <c r="AB261"/>
  <c r="AX254"/>
  <c r="AV254" s="1"/>
  <c r="AL250"/>
  <c r="AU249" s="1"/>
  <c r="AE247"/>
  <c r="AK244"/>
  <c r="AT239" s="1"/>
  <c r="K242"/>
  <c r="AW240"/>
  <c r="Z237"/>
  <c r="AH235"/>
  <c r="K235"/>
  <c r="K234" s="1"/>
  <c r="AL230"/>
  <c r="AH225"/>
  <c r="AX223"/>
  <c r="AV223" s="1"/>
  <c r="AH223"/>
  <c r="AH221"/>
  <c r="AX219"/>
  <c r="AG219"/>
  <c r="AD217"/>
  <c r="AX214"/>
  <c r="BC214" s="1"/>
  <c r="AD211"/>
  <c r="AL209"/>
  <c r="K203"/>
  <c r="AE202"/>
  <c r="AL200"/>
  <c r="AU181" s="1"/>
  <c r="AH191"/>
  <c r="AX190"/>
  <c r="AV190" s="1"/>
  <c r="AH190"/>
  <c r="AH189"/>
  <c r="AX188"/>
  <c r="AD187"/>
  <c r="AX179"/>
  <c r="BC179" s="1"/>
  <c r="AD175"/>
  <c r="AW170"/>
  <c r="J170"/>
  <c r="AD168"/>
  <c r="AX164"/>
  <c r="BC164" s="1"/>
  <c r="Z162"/>
  <c r="AB159"/>
  <c r="AW155"/>
  <c r="AD155"/>
  <c r="J153"/>
  <c r="J142" s="1"/>
  <c r="AV150"/>
  <c r="AE150"/>
  <c r="AB147"/>
  <c r="Z136"/>
  <c r="AW116"/>
  <c r="AD108"/>
  <c r="AE106"/>
  <c r="AH104"/>
  <c r="AX96"/>
  <c r="Z94"/>
  <c r="AL88"/>
  <c r="AU77" s="1"/>
  <c r="L77"/>
  <c r="AX64"/>
  <c r="BC64" s="1"/>
  <c r="Z62"/>
  <c r="BC59"/>
  <c r="AL56"/>
  <c r="AC44"/>
  <c r="AF42"/>
  <c r="AT12"/>
  <c r="AG164"/>
  <c r="AC164"/>
  <c r="AV106"/>
  <c r="BC106"/>
  <c r="AX20"/>
  <c r="K20"/>
  <c r="AW46"/>
  <c r="J46"/>
  <c r="J37" s="1"/>
  <c r="AG133"/>
  <c r="AC133"/>
  <c r="Z67"/>
  <c r="AH67"/>
  <c r="AL62"/>
  <c r="AK62"/>
  <c r="AX46"/>
  <c r="K46"/>
  <c r="AL128"/>
  <c r="AU123" s="1"/>
  <c r="AK128"/>
  <c r="AW73"/>
  <c r="J73"/>
  <c r="Z69"/>
  <c r="AH69"/>
  <c r="AC240"/>
  <c r="AC214"/>
  <c r="AB211"/>
  <c r="AK159"/>
  <c r="AT158" s="1"/>
  <c r="AH288"/>
  <c r="BI274"/>
  <c r="AC270"/>
  <c r="AK261"/>
  <c r="AT260" s="1"/>
  <c r="AE240"/>
  <c r="AW219"/>
  <c r="AC217"/>
  <c r="AV214"/>
  <c r="AG190"/>
  <c r="AW188"/>
  <c r="AC187"/>
  <c r="AL147"/>
  <c r="AU101"/>
  <c r="K96"/>
  <c r="AV92"/>
  <c r="AE78"/>
  <c r="AV62"/>
  <c r="AU52"/>
  <c r="AE15"/>
  <c r="AX291"/>
  <c r="AH291"/>
  <c r="Z289"/>
  <c r="AT287"/>
  <c r="AW285"/>
  <c r="AV283"/>
  <c r="AD279"/>
  <c r="Z276"/>
  <c r="AW273"/>
  <c r="AW270"/>
  <c r="AE270"/>
  <c r="AL267"/>
  <c r="AU266" s="1"/>
  <c r="AB267"/>
  <c r="AX264"/>
  <c r="AH264"/>
  <c r="L260"/>
  <c r="AH254"/>
  <c r="L249"/>
  <c r="AW247"/>
  <c r="AF247"/>
  <c r="BH244"/>
  <c r="AX240"/>
  <c r="J240"/>
  <c r="J239" s="1"/>
  <c r="AD232"/>
  <c r="AV217"/>
  <c r="AE217"/>
  <c r="AH214"/>
  <c r="J214"/>
  <c r="AE211"/>
  <c r="AD210"/>
  <c r="AC209"/>
  <c r="AK206"/>
  <c r="Z204"/>
  <c r="AX202"/>
  <c r="BC202" s="1"/>
  <c r="AF202"/>
  <c r="AD201"/>
  <c r="AL199"/>
  <c r="AV187"/>
  <c r="AE187"/>
  <c r="BI182"/>
  <c r="AH179"/>
  <c r="J179"/>
  <c r="J174" s="1"/>
  <c r="AE175"/>
  <c r="AG170"/>
  <c r="K170"/>
  <c r="AW168"/>
  <c r="BI166"/>
  <c r="BI162"/>
  <c r="AV159"/>
  <c r="AD159"/>
  <c r="AX155"/>
  <c r="AE155"/>
  <c r="BH153"/>
  <c r="BI136"/>
  <c r="AV133"/>
  <c r="AB133"/>
  <c r="AX124"/>
  <c r="AV124" s="1"/>
  <c r="AW121"/>
  <c r="AF108"/>
  <c r="BH106"/>
  <c r="AG106"/>
  <c r="BI99"/>
  <c r="BC94"/>
  <c r="AW67"/>
  <c r="L52"/>
  <c r="BC44"/>
  <c r="AE44"/>
  <c r="BI40"/>
  <c r="BI20"/>
  <c r="AF116"/>
  <c r="AB116"/>
  <c r="Z108"/>
  <c r="AH108"/>
  <c r="AB53"/>
  <c r="AF53"/>
  <c r="AX25"/>
  <c r="K25"/>
  <c r="K24" s="1"/>
  <c r="AL94"/>
  <c r="AK94"/>
  <c r="AT77" s="1"/>
  <c r="L253"/>
  <c r="AK254"/>
  <c r="AT253" s="1"/>
  <c r="AG153"/>
  <c r="AC153"/>
  <c r="AB143"/>
  <c r="AF143"/>
  <c r="L142"/>
  <c r="AK143"/>
  <c r="AT142" s="1"/>
  <c r="AK118"/>
  <c r="AJ118"/>
  <c r="AS115" s="1"/>
  <c r="Z113"/>
  <c r="AH113"/>
  <c r="AV111"/>
  <c r="BC111"/>
  <c r="AL111"/>
  <c r="AU110" s="1"/>
  <c r="L110"/>
  <c r="AK111"/>
  <c r="AT110" s="1"/>
  <c r="AJ111"/>
  <c r="AS110" s="1"/>
  <c r="AL99"/>
  <c r="AU98" s="1"/>
  <c r="L98"/>
  <c r="AK99"/>
  <c r="AT98" s="1"/>
  <c r="AW78"/>
  <c r="J78"/>
  <c r="AX73"/>
  <c r="K73"/>
  <c r="AX69"/>
  <c r="AV69" s="1"/>
  <c r="K69"/>
  <c r="AB48"/>
  <c r="AF48"/>
  <c r="AV35"/>
  <c r="BC35"/>
  <c r="AL33"/>
  <c r="AK33"/>
  <c r="AW22"/>
  <c r="J22"/>
  <c r="AW15"/>
  <c r="J15"/>
  <c r="J12" s="1"/>
  <c r="Z13"/>
  <c r="AH13"/>
  <c r="AJ279"/>
  <c r="AS278" s="1"/>
  <c r="AL168"/>
  <c r="AU161" s="1"/>
  <c r="J161"/>
  <c r="AT123"/>
  <c r="AC247"/>
  <c r="BC237"/>
  <c r="AV203"/>
  <c r="AB187"/>
  <c r="AB175"/>
  <c r="AT101"/>
  <c r="AG290"/>
  <c r="BI285"/>
  <c r="AB279"/>
  <c r="AB232"/>
  <c r="AE219"/>
  <c r="AE179"/>
  <c r="AC150"/>
  <c r="BC143"/>
  <c r="Z124"/>
  <c r="AX285"/>
  <c r="J285"/>
  <c r="J278" s="1"/>
  <c r="AW281"/>
  <c r="AX274"/>
  <c r="BC274" s="1"/>
  <c r="L266"/>
  <c r="K247"/>
  <c r="K246" s="1"/>
  <c r="AC244"/>
  <c r="Z242"/>
  <c r="AH240"/>
  <c r="AC237"/>
  <c r="AB235"/>
  <c r="AC227"/>
  <c r="AF217"/>
  <c r="AB215"/>
  <c r="AW211"/>
  <c r="AB206"/>
  <c r="AH202"/>
  <c r="J202"/>
  <c r="AC199"/>
  <c r="AW175"/>
  <c r="AB172"/>
  <c r="AX168"/>
  <c r="AG168"/>
  <c r="L161"/>
  <c r="AE159"/>
  <c r="L158"/>
  <c r="AD147"/>
  <c r="AE133"/>
  <c r="AE116"/>
  <c r="BI104"/>
  <c r="AV102"/>
  <c r="AD67"/>
  <c r="BH46"/>
  <c r="AK29"/>
  <c r="BI25"/>
  <c r="AT17"/>
  <c r="AB75"/>
  <c r="AF75"/>
  <c r="AW25"/>
  <c r="J25"/>
  <c r="AB84"/>
  <c r="AF84"/>
  <c r="Z44"/>
  <c r="AH44"/>
  <c r="AF128"/>
  <c r="AB128"/>
  <c r="AL104"/>
  <c r="AK104"/>
  <c r="AX78"/>
  <c r="K78"/>
  <c r="AL35"/>
  <c r="AK35"/>
  <c r="AJ35"/>
  <c r="AW27"/>
  <c r="J27"/>
  <c r="AX15"/>
  <c r="K15"/>
  <c r="AX13"/>
  <c r="AV13" s="1"/>
  <c r="K13"/>
  <c r="K12" s="1"/>
  <c r="AD291"/>
  <c r="AB202"/>
  <c r="AE190"/>
  <c r="AC179"/>
  <c r="AB270"/>
  <c r="AK210"/>
  <c r="AT181" s="1"/>
  <c r="AD78"/>
  <c r="AE73"/>
  <c r="AG223"/>
  <c r="AC168"/>
  <c r="AB291"/>
  <c r="AC288"/>
  <c r="AD267"/>
  <c r="AL254"/>
  <c r="AU253" s="1"/>
  <c r="AD227"/>
  <c r="AB225"/>
  <c r="AK219"/>
  <c r="J217"/>
  <c r="J216" s="1"/>
  <c r="AK214"/>
  <c r="AG211"/>
  <c r="BC210"/>
  <c r="AC205"/>
  <c r="BH203"/>
  <c r="AD199"/>
  <c r="AB191"/>
  <c r="J187"/>
  <c r="J181" s="1"/>
  <c r="AC172"/>
  <c r="Z170"/>
  <c r="AH168"/>
  <c r="AV166"/>
  <c r="J164"/>
  <c r="K150"/>
  <c r="K142" s="1"/>
  <c r="AF133"/>
  <c r="AD128"/>
  <c r="L123"/>
  <c r="AE121"/>
  <c r="AG116"/>
  <c r="AD75"/>
  <c r="AF67"/>
  <c r="AK50"/>
  <c r="BI46"/>
  <c r="BC31"/>
  <c r="AL29"/>
  <c r="AU24" s="1"/>
  <c r="AS24"/>
  <c r="L24"/>
  <c r="BI18"/>
  <c r="AL106"/>
  <c r="AK106"/>
  <c r="AJ106"/>
  <c r="AS101" s="1"/>
  <c r="AL40"/>
  <c r="AK40"/>
  <c r="AJ40"/>
  <c r="AG124"/>
  <c r="AC124"/>
  <c r="AF121"/>
  <c r="AB121"/>
  <c r="AF111"/>
  <c r="AB111"/>
  <c r="AL116"/>
  <c r="AU115" s="1"/>
  <c r="L115"/>
  <c r="AK116"/>
  <c r="AW48"/>
  <c r="J48"/>
  <c r="Z42"/>
  <c r="AH42"/>
  <c r="AV40"/>
  <c r="BC40"/>
  <c r="AL38"/>
  <c r="L37"/>
  <c r="AK38"/>
  <c r="AW20"/>
  <c r="J20"/>
  <c r="J17" s="1"/>
  <c r="Z18"/>
  <c r="AH18"/>
  <c r="AE223"/>
  <c r="J101"/>
  <c r="AD73"/>
  <c r="AK250"/>
  <c r="AT249" s="1"/>
  <c r="BC227"/>
  <c r="BC215"/>
  <c r="AE214"/>
  <c r="AL210"/>
  <c r="AJ209"/>
  <c r="BC206"/>
  <c r="AX203"/>
  <c r="BC203" s="1"/>
  <c r="AK200"/>
  <c r="BC199"/>
  <c r="AE289"/>
  <c r="BC279"/>
  <c r="BC250"/>
  <c r="Z247"/>
  <c r="AE244"/>
  <c r="BI242"/>
  <c r="BC230"/>
  <c r="BH219"/>
  <c r="AD215"/>
  <c r="BH214"/>
  <c r="AE206"/>
  <c r="BC200"/>
  <c r="BH188"/>
  <c r="BH179"/>
  <c r="AK168"/>
  <c r="AT161" s="1"/>
  <c r="BH164"/>
  <c r="AJ155"/>
  <c r="AS142" s="1"/>
  <c r="AV140"/>
  <c r="L132"/>
  <c r="BC128"/>
  <c r="AJ124"/>
  <c r="AS123" s="1"/>
  <c r="AG121"/>
  <c r="BC118"/>
  <c r="AD111"/>
  <c r="L101"/>
  <c r="AX99"/>
  <c r="AJ94"/>
  <c r="AD84"/>
  <c r="AB73"/>
  <c r="AJ62"/>
  <c r="AS52" s="1"/>
  <c r="AD53"/>
  <c r="AL50"/>
  <c r="AD88"/>
  <c r="AE84"/>
  <c r="AE75"/>
  <c r="AD56"/>
  <c r="AE53"/>
  <c r="AD50"/>
  <c r="AE48"/>
  <c r="AD29"/>
  <c r="AE27"/>
  <c r="AE22"/>
  <c r="AJ113"/>
  <c r="AJ108"/>
  <c r="AB96"/>
  <c r="AC94"/>
  <c r="AJ67"/>
  <c r="C27" i="2" s="1"/>
  <c r="AB64" i="1"/>
  <c r="AC62"/>
  <c r="AJ42"/>
  <c r="AB40"/>
  <c r="AC38"/>
  <c r="AB35"/>
  <c r="AC33"/>
  <c r="AV88"/>
  <c r="AV56"/>
  <c r="AV50"/>
  <c r="AV29"/>
  <c r="AD96"/>
  <c r="AE94"/>
  <c r="AD64"/>
  <c r="AE62"/>
  <c r="AD40"/>
  <c r="AE38"/>
  <c r="AD35"/>
  <c r="AE33"/>
  <c r="L17"/>
  <c r="L12"/>
  <c r="AK53"/>
  <c r="AT52" s="1"/>
  <c r="AV270" l="1"/>
  <c r="BC270"/>
  <c r="AV219"/>
  <c r="BC219"/>
  <c r="AV121"/>
  <c r="BC121"/>
  <c r="BC170"/>
  <c r="AV170"/>
  <c r="AV99"/>
  <c r="BC99"/>
  <c r="AF46"/>
  <c r="AD46"/>
  <c r="AB46"/>
  <c r="C14" i="2" s="1"/>
  <c r="C22" s="1"/>
  <c r="AC285" i="1"/>
  <c r="AG285"/>
  <c r="AE285"/>
  <c r="BC15"/>
  <c r="AV15"/>
  <c r="AC40"/>
  <c r="AE40"/>
  <c r="AG40"/>
  <c r="AF106"/>
  <c r="C18" i="2" s="1"/>
  <c r="AB106" i="1"/>
  <c r="AD106"/>
  <c r="AD244"/>
  <c r="AB244"/>
  <c r="AF244"/>
  <c r="BC285"/>
  <c r="AV285"/>
  <c r="BC73"/>
  <c r="AV73"/>
  <c r="AC254"/>
  <c r="AG254"/>
  <c r="AE254"/>
  <c r="AV84"/>
  <c r="BC84"/>
  <c r="BC290"/>
  <c r="J24"/>
  <c r="BC254"/>
  <c r="AU37"/>
  <c r="AV64"/>
  <c r="BC223"/>
  <c r="AD164"/>
  <c r="C16" i="2" s="1"/>
  <c r="AB164" i="1"/>
  <c r="AF164"/>
  <c r="AV27"/>
  <c r="BC27"/>
  <c r="AV53"/>
  <c r="BC53"/>
  <c r="AB214"/>
  <c r="AD214"/>
  <c r="AF214"/>
  <c r="BC247"/>
  <c r="AV247"/>
  <c r="AD153"/>
  <c r="AB153"/>
  <c r="AF153"/>
  <c r="AV264"/>
  <c r="BC264"/>
  <c r="AC242"/>
  <c r="AE242"/>
  <c r="AG242"/>
  <c r="AV48"/>
  <c r="BC48"/>
  <c r="AF203"/>
  <c r="AB203"/>
  <c r="AD203"/>
  <c r="AC25"/>
  <c r="C15" i="2" s="1"/>
  <c r="AG25" i="1"/>
  <c r="C19" i="2" s="1"/>
  <c r="AE25" i="1"/>
  <c r="BC281"/>
  <c r="AV281"/>
  <c r="BC78"/>
  <c r="AV78"/>
  <c r="AG99"/>
  <c r="AC99"/>
  <c r="AE99"/>
  <c r="AE136"/>
  <c r="AG136"/>
  <c r="AC136"/>
  <c r="AE166"/>
  <c r="AG166"/>
  <c r="AC166"/>
  <c r="BC46"/>
  <c r="AV46"/>
  <c r="AV75"/>
  <c r="BC75"/>
  <c r="K77"/>
  <c r="K17"/>
  <c r="BC124"/>
  <c r="L292"/>
  <c r="BC13"/>
  <c r="AT37"/>
  <c r="C21" i="2"/>
  <c r="AV164" i="1"/>
  <c r="AG104"/>
  <c r="AC104"/>
  <c r="AE104"/>
  <c r="BC25"/>
  <c r="AV25"/>
  <c r="BC211"/>
  <c r="AV211"/>
  <c r="AV22"/>
  <c r="BC22"/>
  <c r="AF188"/>
  <c r="AB188"/>
  <c r="AD188"/>
  <c r="AG18"/>
  <c r="AC18"/>
  <c r="AE18"/>
  <c r="C17" i="2" s="1"/>
  <c r="BC168" i="1"/>
  <c r="AV168"/>
  <c r="AV188"/>
  <c r="BC188"/>
  <c r="AB179"/>
  <c r="AD179"/>
  <c r="AF179"/>
  <c r="BC20"/>
  <c r="AV20"/>
  <c r="BC175"/>
  <c r="AV175"/>
  <c r="AE182"/>
  <c r="AG182"/>
  <c r="AC182"/>
  <c r="BC240"/>
  <c r="AV240"/>
  <c r="BC69"/>
  <c r="C20" i="2"/>
  <c r="J77" i="1"/>
  <c r="AV202"/>
  <c r="AC20"/>
  <c r="AG20"/>
  <c r="AE20"/>
  <c r="AE274"/>
  <c r="AG274"/>
  <c r="AC274"/>
  <c r="AF219"/>
  <c r="AB219"/>
  <c r="AD219"/>
  <c r="AC46"/>
  <c r="AG46"/>
  <c r="AE46"/>
  <c r="BC67"/>
  <c r="AV67"/>
  <c r="AE162"/>
  <c r="AC162"/>
  <c r="AG162"/>
  <c r="BC273"/>
  <c r="AV273"/>
  <c r="AV116"/>
  <c r="BC116"/>
  <c r="AV155"/>
  <c r="BC155"/>
  <c r="BC291"/>
  <c r="AV291"/>
  <c r="AT115"/>
  <c r="C28" i="2"/>
  <c r="F28" s="1"/>
  <c r="AT24" i="1"/>
  <c r="I28" i="2" l="1"/>
  <c r="I29" s="1"/>
</calcChain>
</file>

<file path=xl/sharedStrings.xml><?xml version="1.0" encoding="utf-8"?>
<sst xmlns="http://schemas.openxmlformats.org/spreadsheetml/2006/main" count="1814" uniqueCount="637">
  <si>
    <t>92</t>
  </si>
  <si>
    <t>23.01.2023</t>
  </si>
  <si>
    <t>Doba výstavby:</t>
  </si>
  <si>
    <t>Hloubené vykopávky</t>
  </si>
  <si>
    <t>Podpěra v odbočovací šachtě</t>
  </si>
  <si>
    <t>Dmtž pažicího boxu standard dl.3m, š.3,5m,hl.3,57m</t>
  </si>
  <si>
    <t>871812112R00</t>
  </si>
  <si>
    <t>Projektant</t>
  </si>
  <si>
    <t>67</t>
  </si>
  <si>
    <t>M22</t>
  </si>
  <si>
    <t>Základ 15%</t>
  </si>
  <si>
    <t>Malby</t>
  </si>
  <si>
    <t>1;zajištění kabelů;</t>
  </si>
  <si>
    <t>286231134VD</t>
  </si>
  <si>
    <t>S3</t>
  </si>
  <si>
    <t>103</t>
  </si>
  <si>
    <t>2;Redukce WAVIN SDR17 PE100 D450/315 PN5/10;</t>
  </si>
  <si>
    <t>Obsyp potrubí štěrkopískem</t>
  </si>
  <si>
    <t>Pohon "VALPES VS FS" VR75-70A-GS6-100-240V AC</t>
  </si>
  <si>
    <t>001221142VD</t>
  </si>
  <si>
    <t>Zásyp rýh se zhutněním</t>
  </si>
  <si>
    <t>Penetrace podkladu pod dlažby</t>
  </si>
  <si>
    <t>1;004 - S8;</t>
  </si>
  <si>
    <t>91</t>
  </si>
  <si>
    <t>137,9*1*0,15;lože;</t>
  </si>
  <si>
    <t>87</t>
  </si>
  <si>
    <t>Kamila Možná</t>
  </si>
  <si>
    <t>286231139VD</t>
  </si>
  <si>
    <t>Základ 21%</t>
  </si>
  <si>
    <t>20</t>
  </si>
  <si>
    <t>Dodávka</t>
  </si>
  <si>
    <t>NUS celkem z obj.</t>
  </si>
  <si>
    <t>den</t>
  </si>
  <si>
    <t>3_</t>
  </si>
  <si>
    <t>Lemový nákružek A WAVIN SDR17 PE100 D200 PN5/10</t>
  </si>
  <si>
    <t>121,93373;pro zásyp rýhy;</t>
  </si>
  <si>
    <t>711</t>
  </si>
  <si>
    <t>Oprava omítek stropů do 10% plochy - hladkých</t>
  </si>
  <si>
    <t>87_</t>
  </si>
  <si>
    <t>Název stavby:</t>
  </si>
  <si>
    <t>Ostatní materiál</t>
  </si>
  <si>
    <t>Průchodka LS-325/9 BS316-OTVOR DN250</t>
  </si>
  <si>
    <t>48</t>
  </si>
  <si>
    <t>29</t>
  </si>
  <si>
    <t>Potrubí z trub plastických, skleněných a čedičových</t>
  </si>
  <si>
    <t>Č</t>
  </si>
  <si>
    <t>89_</t>
  </si>
  <si>
    <t>Poznámka:</t>
  </si>
  <si>
    <t>979990111R00</t>
  </si>
  <si>
    <t>Lokalita:</t>
  </si>
  <si>
    <t>79</t>
  </si>
  <si>
    <t>71</t>
  </si>
  <si>
    <t>16</t>
  </si>
  <si>
    <t>PSV</t>
  </si>
  <si>
    <t>24</t>
  </si>
  <si>
    <t>460300006R00</t>
  </si>
  <si>
    <t>Bez pevné podl.</t>
  </si>
  <si>
    <t>Celkem</t>
  </si>
  <si>
    <t>Zařízení staveniště</t>
  </si>
  <si>
    <t>Potrubí z drenážek</t>
  </si>
  <si>
    <t>-1,8135;viz podkladová vrstva ze štěrkopísku;</t>
  </si>
  <si>
    <t>286231130VD</t>
  </si>
  <si>
    <t>11_</t>
  </si>
  <si>
    <t>881267211R00</t>
  </si>
  <si>
    <t>1_</t>
  </si>
  <si>
    <t>4</t>
  </si>
  <si>
    <t>97</t>
  </si>
  <si>
    <t>94</t>
  </si>
  <si>
    <t>Tvarovky</t>
  </si>
  <si>
    <t>CHEMINVEST</t>
  </si>
  <si>
    <t>60</t>
  </si>
  <si>
    <t>151101102R00</t>
  </si>
  <si>
    <t>161101101R00</t>
  </si>
  <si>
    <t>Základní rozpočtové náklady</t>
  </si>
  <si>
    <t>-50,49954;viz zásyp šachty;</t>
  </si>
  <si>
    <t>Elektrospojka WAVIN SDR17 PE100 D200 PN10/16</t>
  </si>
  <si>
    <t>26</t>
  </si>
  <si>
    <t>6_</t>
  </si>
  <si>
    <t>105</t>
  </si>
  <si>
    <t>Konstrukce ze zemin</t>
  </si>
  <si>
    <t>012111112VD</t>
  </si>
  <si>
    <t>275,8*0,05;ztratné;</t>
  </si>
  <si>
    <t>Použití jeřábu pro osazení šachty</t>
  </si>
  <si>
    <t>Celkem bez DPH</t>
  </si>
  <si>
    <t>286231141VD</t>
  </si>
  <si>
    <t>899711122R00</t>
  </si>
  <si>
    <t>895013111R00</t>
  </si>
  <si>
    <t>Redukce WAVIN SDR17 PE100 D315/200 PN5/10</t>
  </si>
  <si>
    <t>2_</t>
  </si>
  <si>
    <t>012VD_</t>
  </si>
  <si>
    <t>998223011R00</t>
  </si>
  <si>
    <t>5,5*4,7*2,95;výkop;</t>
  </si>
  <si>
    <t>891</t>
  </si>
  <si>
    <t>286231133VD</t>
  </si>
  <si>
    <t>Potrubí z drenážních trubek, přeložení DN 100</t>
  </si>
  <si>
    <t>6</t>
  </si>
  <si>
    <t>Rozpočtové náklady v Kč</t>
  </si>
  <si>
    <t>1;Vytýčení a vyznačení sítí včetně dozoru správců sítí;</t>
  </si>
  <si>
    <t>68</t>
  </si>
  <si>
    <t>76,2575;viz hloubení zapaž. jam;</t>
  </si>
  <si>
    <t>81</t>
  </si>
  <si>
    <t>Příplatek za zaměření GPS během pokládky</t>
  </si>
  <si>
    <t>286231144VD</t>
  </si>
  <si>
    <t>Nátěr syntetický OK základní</t>
  </si>
  <si>
    <t>Přesun hmot pro opravy a údržbu do výšky 6 m</t>
  </si>
  <si>
    <t>Hutnění lože</t>
  </si>
  <si>
    <t>B</t>
  </si>
  <si>
    <t>Náklady na umístění stavby (NUS)</t>
  </si>
  <si>
    <t>343</t>
  </si>
  <si>
    <t>Oprava omítek stěn do 10 % pl. - hladkých</t>
  </si>
  <si>
    <t>42</t>
  </si>
  <si>
    <t>Výztuž základových desek ze svařovaných sití KARI</t>
  </si>
  <si>
    <t>201,173;viz hloubení rýh;</t>
  </si>
  <si>
    <t>82</t>
  </si>
  <si>
    <t>Montáž</t>
  </si>
  <si>
    <t>Datum, razítko a podpis</t>
  </si>
  <si>
    <t>Nakládání nebo překládání vybouraných hmot</t>
  </si>
  <si>
    <t>ZRN celkem</t>
  </si>
  <si>
    <t>Dočasné zajištění beton.a plast.potrubí DN 200-500</t>
  </si>
  <si>
    <t>771990010RA0</t>
  </si>
  <si>
    <t>Elektrospojka WAVIN SDR11 PE100 D110 PN10/16</t>
  </si>
  <si>
    <t>17_</t>
  </si>
  <si>
    <t>999281105R00</t>
  </si>
  <si>
    <t>012VD</t>
  </si>
  <si>
    <t>69</t>
  </si>
  <si>
    <t>33</t>
  </si>
  <si>
    <t>137,90*1,05;ztratné;</t>
  </si>
  <si>
    <t>286231138VD</t>
  </si>
  <si>
    <t>Svislé přemístění výkopku z hor.1-4 do 2,5 m - rýha</t>
  </si>
  <si>
    <t>Kabel Cu signalizační</t>
  </si>
  <si>
    <t>DPH 15%</t>
  </si>
  <si>
    <t>1,16*2,5*2;pažení;</t>
  </si>
  <si>
    <t>784151101R00</t>
  </si>
  <si>
    <t>78</t>
  </si>
  <si>
    <t>Vyříznutí stávajícího potrubí termální vody</t>
  </si>
  <si>
    <t>Pažení a rozepření stěn rýh - příložné - hl.do 2 m</t>
  </si>
  <si>
    <t>Krycí list slepého rozpočtu</t>
  </si>
  <si>
    <t>63</t>
  </si>
  <si>
    <t>1;použití jeřábu;</t>
  </si>
  <si>
    <t>783_</t>
  </si>
  <si>
    <t>77_</t>
  </si>
  <si>
    <t>Koleno 90st. WAVIN SDR17 PE100 D200 PN5/10</t>
  </si>
  <si>
    <t>25</t>
  </si>
  <si>
    <t>kus</t>
  </si>
  <si>
    <t>PAAR-LiYCY 2x2x0,75 kabel datový</t>
  </si>
  <si>
    <t>Dodávky</t>
  </si>
  <si>
    <t>857601102RT1</t>
  </si>
  <si>
    <t>soustava</t>
  </si>
  <si>
    <t>222611215R00</t>
  </si>
  <si>
    <t>Ostatní mat.</t>
  </si>
  <si>
    <t>979094111R00</t>
  </si>
  <si>
    <t>597000002VD</t>
  </si>
  <si>
    <t>76,2575*0,2;příplatek 20%;</t>
  </si>
  <si>
    <t>Průchodka</t>
  </si>
  <si>
    <t>Cenová</t>
  </si>
  <si>
    <t>136,74*1*1,45+1,16*1*2,5;PP;</t>
  </si>
  <si>
    <t>Vodorovné přemístění výkopku z hor.1-4 do 500 m - na mezideponii</t>
  </si>
  <si>
    <t>Příruba PP-OCEL WAVIN D110 PN10/16</t>
  </si>
  <si>
    <t>5;P1;</t>
  </si>
  <si>
    <t>273351216R00</t>
  </si>
  <si>
    <t>HSV prac</t>
  </si>
  <si>
    <t>767_</t>
  </si>
  <si>
    <t>Odrezivění kovových konstrukcí</t>
  </si>
  <si>
    <t>34111012</t>
  </si>
  <si>
    <t>57,995;viz penetrace - S3;</t>
  </si>
  <si>
    <t>132200112RA0</t>
  </si>
  <si>
    <t>-3,5*2,7*2,5;viz šachta;</t>
  </si>
  <si>
    <t>13</t>
  </si>
  <si>
    <t>106,88363;viz nakládání na skládku;</t>
  </si>
  <si>
    <t>"M"</t>
  </si>
  <si>
    <t>Konstrukce doplňkové stavební (zámečnické)</t>
  </si>
  <si>
    <t>Pažení a rozepření stěn rýh - příložné - hl.do 4 m</t>
  </si>
  <si>
    <t>H27_</t>
  </si>
  <si>
    <t>12,09*0,1;prořez;</t>
  </si>
  <si>
    <t>3,9*3,1*8/1000;podkladní deska;</t>
  </si>
  <si>
    <t>771101210RT2</t>
  </si>
  <si>
    <t>171201201R00</t>
  </si>
  <si>
    <t>Cena/MJ</t>
  </si>
  <si>
    <t>1;Pohon "VALPES VS FS" VR75-70A-GS6-100-240V AC;</t>
  </si>
  <si>
    <t>20,685;viz lože;</t>
  </si>
  <si>
    <t>Konec výstavby:</t>
  </si>
  <si>
    <t>H22_</t>
  </si>
  <si>
    <t>Redukce WAVIN SDR17 PE100 D450/315 PN5/10</t>
  </si>
  <si>
    <t>132303323R00</t>
  </si>
  <si>
    <t>Vybourání keramické nebo teracové dlažby</t>
  </si>
  <si>
    <t>899102111RT2</t>
  </si>
  <si>
    <t>Kód</t>
  </si>
  <si>
    <t>S</t>
  </si>
  <si>
    <t>43</t>
  </si>
  <si>
    <t>136,74*1,45*2;pažení;</t>
  </si>
  <si>
    <t>Montáž tvarovek DN 200</t>
  </si>
  <si>
    <t>Příplatek za lepivost - hloubení zapaž.jam v hor.4</t>
  </si>
  <si>
    <t>Úprava podloží a základové spáry</t>
  </si>
  <si>
    <t>Ostatní přesuny hmot</t>
  </si>
  <si>
    <t>1;P2;</t>
  </si>
  <si>
    <t>611421221R00</t>
  </si>
  <si>
    <t>MJ</t>
  </si>
  <si>
    <t>1;průchodka;</t>
  </si>
  <si>
    <t>Přesun hmot, pozemní komunikace, kryt dlážděný</t>
  </si>
  <si>
    <t>12,411;lože trativodu;</t>
  </si>
  <si>
    <t>45</t>
  </si>
  <si>
    <t>2;Koleno 90st. WAVIN SDR17 PE100 D200 PN5/10;</t>
  </si>
  <si>
    <t>40</t>
  </si>
  <si>
    <t>Propojení potrubí po osazení šachty</t>
  </si>
  <si>
    <t>H22</t>
  </si>
  <si>
    <t>9_</t>
  </si>
  <si>
    <t>2;Pohon "VALPES VS FS" VS300-90A-GS6-100-240V AC;</t>
  </si>
  <si>
    <t>Doplňkové náklady</t>
  </si>
  <si>
    <t>Nátěr syntetický OK dvojnásobný</t>
  </si>
  <si>
    <t>938907121R00</t>
  </si>
  <si>
    <t>286559919VD</t>
  </si>
  <si>
    <t>PSV prac</t>
  </si>
  <si>
    <t>HSV</t>
  </si>
  <si>
    <t>Podkladová vrstva ze štěrkopísku, rozprostření a zhutnění</t>
  </si>
  <si>
    <t>286231135VD</t>
  </si>
  <si>
    <t>132301219R00</t>
  </si>
  <si>
    <t>151101112R00</t>
  </si>
  <si>
    <t>711141559RZ3</t>
  </si>
  <si>
    <t>9</t>
  </si>
  <si>
    <t>Odstranění pažení stěn rýh - příložné - hl. do 4 m</t>
  </si>
  <si>
    <t>161101102R00</t>
  </si>
  <si>
    <t>104</t>
  </si>
  <si>
    <t>Různé dokončovací konstrukce a práce inženýrských staveb</t>
  </si>
  <si>
    <t>3,9*3,1*0,156;pro podklad;</t>
  </si>
  <si>
    <t>172,43327;viz nakládání;</t>
  </si>
  <si>
    <t>273321311R00</t>
  </si>
  <si>
    <t>15</t>
  </si>
  <si>
    <t>34111110VD</t>
  </si>
  <si>
    <t>95</t>
  </si>
  <si>
    <t>596215021R00</t>
  </si>
  <si>
    <t>ISWORK</t>
  </si>
  <si>
    <t>Celkem včetně DPH</t>
  </si>
  <si>
    <t>(5+4)*2,46*2+20*2-1,19*0,79+(1,19+0,79)*2*0,42;004;</t>
  </si>
  <si>
    <t>Základ 0%</t>
  </si>
  <si>
    <t>Nakládání výkopku z hor. 1 ÷ 4 v množství nad 100 m3 - odvoz z mezideponie</t>
  </si>
  <si>
    <t>1;rám;</t>
  </si>
  <si>
    <t>2,47122</t>
  </si>
  <si>
    <t>891110013VD</t>
  </si>
  <si>
    <t>S_</t>
  </si>
  <si>
    <t>Nakládání výkopku z hor. 1 ÷ 4 v množství nad 100 m3 - odvoz na mezideponii</t>
  </si>
  <si>
    <t>-3,14*0,14*0,14/4*137,9</t>
  </si>
  <si>
    <t>52</t>
  </si>
  <si>
    <t>784165611R00</t>
  </si>
  <si>
    <t xml:space="preserve">Montáž podlah keram.,režné hladké, tmel	</t>
  </si>
  <si>
    <t>Rozebrání dlažeb ze zámkové dlažby v kamenivu</t>
  </si>
  <si>
    <t>51</t>
  </si>
  <si>
    <t>Přesuny sutí</t>
  </si>
  <si>
    <t>137,9*0,3*0,3</t>
  </si>
  <si>
    <t>Mont prac</t>
  </si>
  <si>
    <t>Elektrokus T kus reduk. WAVIN PE100 D200-110 PN10/16</t>
  </si>
  <si>
    <t>767995153VD</t>
  </si>
  <si>
    <t>Obklady (keramické)</t>
  </si>
  <si>
    <t>44</t>
  </si>
  <si>
    <t>012111113VD</t>
  </si>
  <si>
    <t>Přípl.za lepivost,hloubení rýh 200cm,hor.4,STROJNĚ</t>
  </si>
  <si>
    <t>Příplatek k odvozu za každý další 1 km</t>
  </si>
  <si>
    <t>78_</t>
  </si>
  <si>
    <t>343_</t>
  </si>
  <si>
    <t>62_</t>
  </si>
  <si>
    <t>Vyrovnání podk.samoniv.hmotou</t>
  </si>
  <si>
    <t>23</t>
  </si>
  <si>
    <t>((1,175+2,5*2)*2,5-0,96*2,02+4,5*1,5*2)*2+11,139;001;</t>
  </si>
  <si>
    <t>781_</t>
  </si>
  <si>
    <t>767</t>
  </si>
  <si>
    <t>162301101R00</t>
  </si>
  <si>
    <t>-1,8135;viz podkladová základová deska;</t>
  </si>
  <si>
    <t>59</t>
  </si>
  <si>
    <t>3,9*3,1*0,15;podkladní deska;</t>
  </si>
  <si>
    <t>109</t>
  </si>
  <si>
    <t>t</t>
  </si>
  <si>
    <t>Odstranění nátěrů z ocel.konstrukcí oškrábáním</t>
  </si>
  <si>
    <t> </t>
  </si>
  <si>
    <t>162701109R00</t>
  </si>
  <si>
    <t>53</t>
  </si>
  <si>
    <t>99</t>
  </si>
  <si>
    <t>201,173/100*20;příplatek 20%;</t>
  </si>
  <si>
    <t>20.01.2023</t>
  </si>
  <si>
    <t>107</t>
  </si>
  <si>
    <t>343111100VD</t>
  </si>
  <si>
    <t>781110012VD</t>
  </si>
  <si>
    <t>AQUACENTRUM p.o., TEPLICE</t>
  </si>
  <si>
    <t>JKSO:</t>
  </si>
  <si>
    <t>45_</t>
  </si>
  <si>
    <t>85</t>
  </si>
  <si>
    <t>857601107R00</t>
  </si>
  <si>
    <t>;obsyp;</t>
  </si>
  <si>
    <t>64</t>
  </si>
  <si>
    <t>vrn</t>
  </si>
  <si>
    <t>Svislé přemístění výkopku z hor.1-4 do 4,0 m - jáma</t>
  </si>
  <si>
    <t>Podpěry</t>
  </si>
  <si>
    <t>28,4;viz vyrovnání;</t>
  </si>
  <si>
    <t>783122110R00</t>
  </si>
  <si>
    <t>Průchodka do šachty</t>
  </si>
  <si>
    <t>137,9;vodič;</t>
  </si>
  <si>
    <t>30;viz pokládka - P1;</t>
  </si>
  <si>
    <t>77</t>
  </si>
  <si>
    <t>Příplatek za položení signalizačního vodiče a datového kabelu</t>
  </si>
  <si>
    <t>012111114VD</t>
  </si>
  <si>
    <t>771575107RT2</t>
  </si>
  <si>
    <t>DN celkem</t>
  </si>
  <si>
    <t>H99_</t>
  </si>
  <si>
    <t>Komunikace pozemní a letiště</t>
  </si>
  <si>
    <t>Vytýčení a vyznačení sítí včetně dozoru správců sítí</t>
  </si>
  <si>
    <t>012111111VD</t>
  </si>
  <si>
    <t>Nátěr betonových povrchů protiskluzový včetně drobných oprav</t>
  </si>
  <si>
    <t>GROUPCODE</t>
  </si>
  <si>
    <t>Poplatek za uložení suti - stavební keramika, skupina odpadu 170103</t>
  </si>
  <si>
    <t>0</t>
  </si>
  <si>
    <t>1;Elektrokus T kus reduk. WAVIN PE100 D200-110 PN10/16;</t>
  </si>
  <si>
    <t>Montáže sdělovací a zabezpečovací techniky</t>
  </si>
  <si>
    <t>Provozní vlivy</t>
  </si>
  <si>
    <t>5</t>
  </si>
  <si>
    <t>76_</t>
  </si>
  <si>
    <t>Pronájem lehkého pažic.boxu dl.3m, š.3,5m,hl.3,27m</t>
  </si>
  <si>
    <t>Příplatek k vod. přemístění hor.1-4 za další 1 km</t>
  </si>
  <si>
    <t>891_</t>
  </si>
  <si>
    <t>Montáž tvarovek DN 300</t>
  </si>
  <si>
    <t>Vedení trubní dálková a přípojná</t>
  </si>
  <si>
    <t>Druh stavby:</t>
  </si>
  <si>
    <t>Přípravné a přidružené práce</t>
  </si>
  <si>
    <t>783122710R00</t>
  </si>
  <si>
    <t>88_</t>
  </si>
  <si>
    <t>784</t>
  </si>
  <si>
    <t>96</t>
  </si>
  <si>
    <t>783824120R00</t>
  </si>
  <si>
    <t>Zpracováno dne:</t>
  </si>
  <si>
    <t>286231137VD</t>
  </si>
  <si>
    <t>H27</t>
  </si>
  <si>
    <t>783</t>
  </si>
  <si>
    <t>Fólie výstražná z PVC</t>
  </si>
  <si>
    <t>2;Elektrospojka WAVIN SDR11 PE100 D110 PN10/16;</t>
  </si>
  <si>
    <t>SO 01 - OTV z LDB do ČS</t>
  </si>
  <si>
    <t>10</t>
  </si>
  <si>
    <t>137,9</t>
  </si>
  <si>
    <t>58</t>
  </si>
  <si>
    <t>S2</t>
  </si>
  <si>
    <t>36</t>
  </si>
  <si>
    <t>M46</t>
  </si>
  <si>
    <t>286231132VD</t>
  </si>
  <si>
    <t>14</t>
  </si>
  <si>
    <t>31</t>
  </si>
  <si>
    <t>84</t>
  </si>
  <si>
    <t>Osazení a dodávka poklopu včetně rámu, uzamykatelný, těsný 900x900mm</t>
  </si>
  <si>
    <t>Množství</t>
  </si>
  <si>
    <t>5_</t>
  </si>
  <si>
    <t>622471112R00</t>
  </si>
  <si>
    <t>38</t>
  </si>
  <si>
    <t>Všeobecné konstrukce a práce</t>
  </si>
  <si>
    <t>2;Uzav. klapka TTV s el. pohonem 2034E-DN200-PN16 W;</t>
  </si>
  <si>
    <t>3;průchodka;</t>
  </si>
  <si>
    <t>Železobeton základových desek C 16/20</t>
  </si>
  <si>
    <t>Zásyp odbočovací šachty se zhutněním</t>
  </si>
  <si>
    <t>21_</t>
  </si>
  <si>
    <t>Typ skupiny</t>
  </si>
  <si>
    <t>73</t>
  </si>
  <si>
    <t>187,98732</t>
  </si>
  <si>
    <t>201,173;viz rýha;</t>
  </si>
  <si>
    <t>286231142VD</t>
  </si>
  <si>
    <t>Zemní práce při montážích</t>
  </si>
  <si>
    <t>4,65;viz odrezivění;</t>
  </si>
  <si>
    <t>Dočasné zajištění kabelů - do počtu 3 kabelů</t>
  </si>
  <si>
    <t>61_</t>
  </si>
  <si>
    <t>460650015RT1</t>
  </si>
  <si>
    <t>56</t>
  </si>
  <si>
    <t>Montáž trubek polyetylenových ve výkopu d 110 mm</t>
  </si>
  <si>
    <t>892271111R00</t>
  </si>
  <si>
    <t>1;Uzav. klapka TTV s el. pohonem 2094E-DN100-PN16 W;</t>
  </si>
  <si>
    <t>19</t>
  </si>
  <si>
    <t>C</t>
  </si>
  <si>
    <t>Náklady (Kč)</t>
  </si>
  <si>
    <t>110</t>
  </si>
  <si>
    <t>39</t>
  </si>
  <si>
    <t>30</t>
  </si>
  <si>
    <t>3;Průchodka LS-325/9 BS316-OTVOR DN250;</t>
  </si>
  <si>
    <t>2;Elektrokus T kus WAVIN PE100 D200 PN10/16;</t>
  </si>
  <si>
    <t>Ostatní konstrukce a práce na trubním vedení</t>
  </si>
  <si>
    <t>IČO/DIČ:</t>
  </si>
  <si>
    <t>Technický dozor investora</t>
  </si>
  <si>
    <t>Ostatní</t>
  </si>
  <si>
    <t>86</t>
  </si>
  <si>
    <t>137,9*2;fólie;</t>
  </si>
  <si>
    <t>Uzav. klapka TTV s el. pohonem 2034E-DN200-PN16 W</t>
  </si>
  <si>
    <t>979081121R00</t>
  </si>
  <si>
    <t>Kladení zámkové dlažby tl. 6 cm do drtě tl. 4 cm</t>
  </si>
  <si>
    <t>55</t>
  </si>
  <si>
    <t>19*0,18*1,175+18*0,27*1,175+1,175*1,2;001 - S7;</t>
  </si>
  <si>
    <t>871251121R00</t>
  </si>
  <si>
    <t>Zpracoval:</t>
  </si>
  <si>
    <t>2;Příruba PP-OCEL WAVIN D110 PN10/16;</t>
  </si>
  <si>
    <t>76</t>
  </si>
  <si>
    <t>286231145VD</t>
  </si>
  <si>
    <t>771100010RA0</t>
  </si>
  <si>
    <t>286231140VD</t>
  </si>
  <si>
    <t>137,9*1*(0,14+0,3)</t>
  </si>
  <si>
    <t>Uložení sypaniny na mezideponii</t>
  </si>
  <si>
    <t>151101111R00</t>
  </si>
  <si>
    <t>Přesun hmot, trubní vedení plastová, otevř. výkop</t>
  </si>
  <si>
    <t>Zhotovitel</t>
  </si>
  <si>
    <t>199000002R00</t>
  </si>
  <si>
    <t>RTS I / 2023</t>
  </si>
  <si>
    <t>2;Lemový nákružek A WAVIN SDR17 PE100 D110 PN5/10;</t>
  </si>
  <si>
    <t>27_</t>
  </si>
  <si>
    <t>2</t>
  </si>
  <si>
    <t>Projektant:</t>
  </si>
  <si>
    <t>ORN celkem</t>
  </si>
  <si>
    <t/>
  </si>
  <si>
    <t>17</t>
  </si>
  <si>
    <t>1;žebřík;</t>
  </si>
  <si>
    <t>(5+4)*2*0,9-0,96*0,4+(0,86+0,56)*2*1,05;003;</t>
  </si>
  <si>
    <t>98</t>
  </si>
  <si>
    <t>Hloubení rýh pro drény, hloubky do 2,0 m, v hor.4</t>
  </si>
  <si>
    <t>112</t>
  </si>
  <si>
    <t>Vodorovné přemístění výkopku z hor.1-4 do 500 m - z mezideponie</t>
  </si>
  <si>
    <t>15_</t>
  </si>
  <si>
    <t>21</t>
  </si>
  <si>
    <t>451572111R00</t>
  </si>
  <si>
    <t>Lože pod potrubí z písku</t>
  </si>
  <si>
    <t>979081111R00</t>
  </si>
  <si>
    <t>Úprava povrchů vnitřní</t>
  </si>
  <si>
    <t>Práce přesčas</t>
  </si>
  <si>
    <t>P1 - S4, S5</t>
  </si>
  <si>
    <t>Bednění stěn základových desek - odstranění</t>
  </si>
  <si>
    <t>61</t>
  </si>
  <si>
    <t>119001421R00</t>
  </si>
  <si>
    <t>4,65;viz odrezivění - S7;</t>
  </si>
  <si>
    <t>871812111R00</t>
  </si>
  <si>
    <t>174101101R00</t>
  </si>
  <si>
    <t>12</t>
  </si>
  <si>
    <t>106,88363*19;odvoz celkem do 20km;</t>
  </si>
  <si>
    <t>Hloubení zapaž.rýh šířky.do 200 cm v hornině.1-4</t>
  </si>
  <si>
    <t>Kulturní památka</t>
  </si>
  <si>
    <t>(3,9+3,1)*2*0,15;podkladní deska;</t>
  </si>
  <si>
    <t>Odvoz suti a vybour. hmot na skládku do 1 km</t>
  </si>
  <si>
    <t>kompl</t>
  </si>
  <si>
    <t>DPH 21%</t>
  </si>
  <si>
    <t>28611233</t>
  </si>
  <si>
    <t>29,595;viz oprava omítek stěn;</t>
  </si>
  <si>
    <t>286231143VD</t>
  </si>
  <si>
    <t>-58,55427;viz obsyp;</t>
  </si>
  <si>
    <t>2,47122*19;odvoz celkem do 20km;</t>
  </si>
  <si>
    <t>286231131VD</t>
  </si>
  <si>
    <t>_</t>
  </si>
  <si>
    <t>ORN celkem z obj.</t>
  </si>
  <si>
    <t>7;Elektrospojka WAVIN SDR17 PE100 D200 PN10/16;</t>
  </si>
  <si>
    <t>857601105R00</t>
  </si>
  <si>
    <t>Podkladní a vedlejší konstrukce (kromě vozovek a železničního svršku)</t>
  </si>
  <si>
    <t>175100020RAD</t>
  </si>
  <si>
    <t>49</t>
  </si>
  <si>
    <t>72</t>
  </si>
  <si>
    <t>Přesuny</t>
  </si>
  <si>
    <t>Montáž pohonů</t>
  </si>
  <si>
    <t>MAT</t>
  </si>
  <si>
    <t>70</t>
  </si>
  <si>
    <t>Malba omyvat., bílá, bez penetrace, 1x</t>
  </si>
  <si>
    <t>8</t>
  </si>
  <si>
    <t>Celkem:</t>
  </si>
  <si>
    <t>Mimostav. doprava</t>
  </si>
  <si>
    <t>Nátěry</t>
  </si>
  <si>
    <t>783904811R00</t>
  </si>
  <si>
    <t>18</t>
  </si>
  <si>
    <t>DN celkem z obj.</t>
  </si>
  <si>
    <t>Nakládání výkopku z hor. 1 ÷ 4 v množství nad 100 m3 - odvoz na skládku</t>
  </si>
  <si>
    <t>-1,4*1,4*0,2;viz vstup do šachty;</t>
  </si>
  <si>
    <t>2,1;viz zřízení;</t>
  </si>
  <si>
    <t>46</t>
  </si>
  <si>
    <t>781</t>
  </si>
  <si>
    <t>Montáž pažic.boxu standard dl.3m, š.3,5m, hl.3,57m</t>
  </si>
  <si>
    <t>9,9;002;</t>
  </si>
  <si>
    <t>71_</t>
  </si>
  <si>
    <t>Úprava povrchů vnější</t>
  </si>
  <si>
    <t>100</t>
  </si>
  <si>
    <t>108</t>
  </si>
  <si>
    <t>50</t>
  </si>
  <si>
    <t>Základy</t>
  </si>
  <si>
    <t>Nátěr vnějších stěn algicidní a fungicidní</t>
  </si>
  <si>
    <t>4_</t>
  </si>
  <si>
    <t>Přechod. kus SC 465 + vložka BC 32/400</t>
  </si>
  <si>
    <t>m</t>
  </si>
  <si>
    <t>5,8;viz pažení;</t>
  </si>
  <si>
    <t>Lemový nákružek A WAVIN SDR17 PE100 D110 PN5/10</t>
  </si>
  <si>
    <t>Přemístění výkopku</t>
  </si>
  <si>
    <t>212572111R00</t>
  </si>
  <si>
    <t>11</t>
  </si>
  <si>
    <t>Pohon "VALPES VS FS" VS300-90A-GS6-100-240V AC</t>
  </si>
  <si>
    <t>32</t>
  </si>
  <si>
    <t>Objednatel:</t>
  </si>
  <si>
    <t>Odmaštění chemickými rozpouštědly</t>
  </si>
  <si>
    <t>8_</t>
  </si>
  <si>
    <t>PSV mat</t>
  </si>
  <si>
    <t>131301110R00</t>
  </si>
  <si>
    <t>894</t>
  </si>
  <si>
    <t>286231146VD</t>
  </si>
  <si>
    <t>3</t>
  </si>
  <si>
    <t>783101811R00</t>
  </si>
  <si>
    <t>Roubení</t>
  </si>
  <si>
    <t>Bednění stěn základových desek - zřízení</t>
  </si>
  <si>
    <t>711_</t>
  </si>
  <si>
    <t>85_</t>
  </si>
  <si>
    <t>998276101R00</t>
  </si>
  <si>
    <t>102</t>
  </si>
  <si>
    <t>Lože trativodu ze štěrkopísku tříděného</t>
  </si>
  <si>
    <t>Zhotovitel:</t>
  </si>
  <si>
    <t>%</t>
  </si>
  <si>
    <t>Podlahy z dlaždic</t>
  </si>
  <si>
    <t>M46_</t>
  </si>
  <si>
    <t>131301209R00</t>
  </si>
  <si>
    <t>1;odbočovací jímka;</t>
  </si>
  <si>
    <t>0_</t>
  </si>
  <si>
    <t>784_</t>
  </si>
  <si>
    <t>35</t>
  </si>
  <si>
    <t>Začátek výstavby:</t>
  </si>
  <si>
    <t>396,546;viz pažení;</t>
  </si>
  <si>
    <t>Penetrace podkladu 1 x</t>
  </si>
  <si>
    <t>A</t>
  </si>
  <si>
    <t>Mont mat</t>
  </si>
  <si>
    <t>167101102R00</t>
  </si>
  <si>
    <t>0,3695</t>
  </si>
  <si>
    <t>13_</t>
  </si>
  <si>
    <t>2;Přechod. kus SC 465 + vložka BC 32/400;</t>
  </si>
  <si>
    <t>Slepý stavební rozpočet</t>
  </si>
  <si>
    <t>93</t>
  </si>
  <si>
    <t>AQUACENTRUM TEPLICE</t>
  </si>
  <si>
    <t>162301102R00</t>
  </si>
  <si>
    <t>1;propojení potrubí;</t>
  </si>
  <si>
    <t>273351215R00</t>
  </si>
  <si>
    <t>612421221R00</t>
  </si>
  <si>
    <t>101</t>
  </si>
  <si>
    <t>75</t>
  </si>
  <si>
    <t>54</t>
  </si>
  <si>
    <t xml:space="preserve"> </t>
  </si>
  <si>
    <t>16_</t>
  </si>
  <si>
    <t>151811617R00</t>
  </si>
  <si>
    <t>Elektrokus T kus WAVIN PE100 D200 PN10/16</t>
  </si>
  <si>
    <t>343111101VD</t>
  </si>
  <si>
    <t>3,9*3,1;hydroizolační vrstva;</t>
  </si>
  <si>
    <t>Kryty pozemních komunikací, letišť a ploch dlážděných (předlažby)</t>
  </si>
  <si>
    <t>Provedení izolace proti vlhkosti na ploše vodorovné, asfaltovými pásy přitavením, 1 vrstva - včetně dodávky</t>
  </si>
  <si>
    <t>Objednatel</t>
  </si>
  <si>
    <t>001111111VD</t>
  </si>
  <si>
    <t>57</t>
  </si>
  <si>
    <t>(Kč)</t>
  </si>
  <si>
    <t>22</t>
  </si>
  <si>
    <t>Příruba PP-OCEL WAVIN D200 PN16</t>
  </si>
  <si>
    <t>18,5;003;</t>
  </si>
  <si>
    <t>151813617R00</t>
  </si>
  <si>
    <t>Územní vlivy</t>
  </si>
  <si>
    <t>78,14354+201,173;viz svislé přemístění;</t>
  </si>
  <si>
    <t>m3</t>
  </si>
  <si>
    <t>Odstranění pažení stěn rýh - příložné - hl. do 2 m</t>
  </si>
  <si>
    <t>Datum:</t>
  </si>
  <si>
    <t>Trubka PVC-U drenážní flexibilní d 100 mm</t>
  </si>
  <si>
    <t>Tlaková zkouška vodovodního potrubí DN 125</t>
  </si>
  <si>
    <t>Uložení sypaniny na skl.-sypanina na výšku přes 2m</t>
  </si>
  <si>
    <t>27</t>
  </si>
  <si>
    <t>37</t>
  </si>
  <si>
    <t>80</t>
  </si>
  <si>
    <t>m2</t>
  </si>
  <si>
    <t>41</t>
  </si>
  <si>
    <t>59_</t>
  </si>
  <si>
    <t>armatury na potrubí, výtoková a vtoková zařízení</t>
  </si>
  <si>
    <t>Přesun hmot a sutí</t>
  </si>
  <si>
    <t>NUS z rozpočtu</t>
  </si>
  <si>
    <t>Instalace průchodky včetně opravy hydroizolace vnější stěny</t>
  </si>
  <si>
    <t>1</t>
  </si>
  <si>
    <t>3,9*3,1*0,15;štěrkopískový podsyp;</t>
  </si>
  <si>
    <t>894110015VD</t>
  </si>
  <si>
    <t>7</t>
  </si>
  <si>
    <t>Rozměry</t>
  </si>
  <si>
    <t>28,4;viz oprava omítek stropů;</t>
  </si>
  <si>
    <t>131301201R00</t>
  </si>
  <si>
    <t>286231136VD</t>
  </si>
  <si>
    <t>(2,425+4)*2*2,5-0,96*2,02*2+9,9*2;002;</t>
  </si>
  <si>
    <t>-121,933373;viz zásyp rýhy;</t>
  </si>
  <si>
    <t>74</t>
  </si>
  <si>
    <t>Položek:</t>
  </si>
  <si>
    <t>NUS celkem</t>
  </si>
  <si>
    <t>WORK</t>
  </si>
  <si>
    <t>S1</t>
  </si>
  <si>
    <t>83</t>
  </si>
  <si>
    <t>Hloubení zapažených jam v hor.4 do 100 m3</t>
  </si>
  <si>
    <t>771_</t>
  </si>
  <si>
    <t>93_</t>
  </si>
  <si>
    <t>47</t>
  </si>
  <si>
    <t>50,49954;pro zásyp jámy;</t>
  </si>
  <si>
    <t>4;Lemový nákružek A WAVIN SDR17 PE100 D200 PN5/10;</t>
  </si>
  <si>
    <t>-20,685;viz lože;</t>
  </si>
  <si>
    <t>119001412R00</t>
  </si>
  <si>
    <t>HSV mat</t>
  </si>
  <si>
    <t>4;Příruba PP-OCEL WAVIN D200 PN16;</t>
  </si>
  <si>
    <t>66</t>
  </si>
  <si>
    <t>139,7</t>
  </si>
  <si>
    <t>(5+4)*2*2,5-0,96*2,02+18,5*2+(0,86+0,56)*2*1,05-1,19*0,79;003;</t>
  </si>
  <si>
    <t>286134633</t>
  </si>
  <si>
    <t>Montáž tvarovek DN 100</t>
  </si>
  <si>
    <t>113106231R00</t>
  </si>
  <si>
    <t>(1,175+2,5*2)*2,5-0,96*2,02+4,5*1,5*2*2;001;</t>
  </si>
  <si>
    <t>783903811R00</t>
  </si>
  <si>
    <t>H99</t>
  </si>
  <si>
    <t>1,88604;viz hloubení nezapaž. jam;</t>
  </si>
  <si>
    <t>90</t>
  </si>
  <si>
    <t>89</t>
  </si>
  <si>
    <t>Vodorovné přemístění výkopku z hor.1-4 do 1000 m</t>
  </si>
  <si>
    <t>Žebřík nerezový, šíře 400mm, délka 2,4m včetně kotvení</t>
  </si>
  <si>
    <t>5*(0,15*3+0,24*2);003 - S7;</t>
  </si>
  <si>
    <t>137,9*1,05;ztratné;</t>
  </si>
  <si>
    <t>(2,425+4)*2*0,9-0,96*0,4*2;002;</t>
  </si>
  <si>
    <t>78,14354;viz svislé přemístění;</t>
  </si>
  <si>
    <t>106,88363;viz uložení;</t>
  </si>
  <si>
    <t>88</t>
  </si>
  <si>
    <t>3,11517</t>
  </si>
  <si>
    <t>Poplatek za skládku horniny 1- 4, č. dle katal. odpadů 17 05 04</t>
  </si>
  <si>
    <t>Uzav. klapka TTV s el. pohonem 2094E-DN100-PN16 W</t>
  </si>
  <si>
    <t>Zkrácený popis</t>
  </si>
  <si>
    <t>Oprava ker. obkladu nádrže (rozsah upřesněn po vypuštění nádrže)</t>
  </si>
  <si>
    <t>28</t>
  </si>
  <si>
    <t>Montáž tvarovek DN 400</t>
  </si>
  <si>
    <t>111</t>
  </si>
  <si>
    <t>Zřízení a dodávka jímky z prefa do 4 m, nad 3,5 m2</t>
  </si>
  <si>
    <t>Trubka vodovodní HDPE SDR 17  110x6,6 mm, tl. izolace 32mm</t>
  </si>
  <si>
    <t>2;Redukce WAVIN SDR17 PE100 D315/200 PN5/10;</t>
  </si>
  <si>
    <t>771</t>
  </si>
  <si>
    <t>CELK</t>
  </si>
  <si>
    <t>857601109R00</t>
  </si>
  <si>
    <t>106</t>
  </si>
  <si>
    <t>M22_</t>
  </si>
  <si>
    <t>151101101R00</t>
  </si>
  <si>
    <t>65</t>
  </si>
  <si>
    <t>34</t>
  </si>
  <si>
    <t>62</t>
  </si>
  <si>
    <t>273362021R00</t>
  </si>
  <si>
    <t>151812614R00</t>
  </si>
  <si>
    <t>Dlažba protiskluzová keramická</t>
  </si>
  <si>
    <t>Izolace proti vodě</t>
  </si>
  <si>
    <t>Očištění stěn, podlah a stropů tlakovou vodou</t>
  </si>
  <si>
    <t>Hloubení nezapaž. jam hor.4 do 50 m3, STROJNĚ</t>
  </si>
  <si>
    <t>NOVÁ PŘÍPOJKA TERMÁLNÍ VODY PRO AQUACENTRUM TEPLICE</t>
  </si>
  <si>
    <t>894_</t>
  </si>
</sst>
</file>

<file path=xl/styles.xml><?xml version="1.0" encoding="utf-8"?>
<styleSheet xmlns="http://schemas.openxmlformats.org/spreadsheetml/2006/main">
  <fonts count="12">
    <font>
      <sz val="8"/>
      <name val="Arial"/>
    </font>
    <font>
      <sz val="11"/>
      <name val="Calibri"/>
    </font>
    <font>
      <sz val="10"/>
      <color rgb="FF000000"/>
      <name val="Arial"/>
      <charset val="238"/>
    </font>
    <font>
      <b/>
      <sz val="20"/>
      <color rgb="FF000000"/>
      <name val="Arial"/>
      <charset val="238"/>
    </font>
    <font>
      <b/>
      <sz val="10"/>
      <color rgb="FF000000"/>
      <name val="Arial"/>
      <charset val="238"/>
    </font>
    <font>
      <i/>
      <sz val="10"/>
      <color rgb="FF000000"/>
      <name val="Arial"/>
      <charset val="238"/>
    </font>
    <font>
      <sz val="12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sz val="18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9"/>
      </patternFill>
    </fill>
  </fills>
  <borders count="3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105">
    <xf numFmtId="0" fontId="1" fillId="0" borderId="0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0" fontId="4" fillId="0" borderId="4" xfId="0" applyNumberFormat="1" applyFont="1" applyFill="1" applyBorder="1" applyAlignment="1" applyProtection="1">
      <alignment horizontal="center" vertical="center"/>
    </xf>
    <xf numFmtId="4" fontId="6" fillId="0" borderId="1" xfId="0" applyNumberFormat="1" applyFont="1" applyFill="1" applyBorder="1" applyAlignment="1" applyProtection="1">
      <alignment horizontal="right" vertical="center"/>
    </xf>
    <xf numFmtId="4" fontId="6" fillId="0" borderId="2" xfId="0" applyNumberFormat="1" applyFont="1" applyFill="1" applyBorder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4" fillId="2" borderId="0" xfId="0" applyNumberFormat="1" applyFont="1" applyFill="1" applyBorder="1" applyAlignment="1" applyProtection="1">
      <alignment horizontal="right" vertical="center"/>
    </xf>
    <xf numFmtId="0" fontId="1" fillId="0" borderId="8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/>
    <xf numFmtId="0" fontId="6" fillId="0" borderId="10" xfId="0" applyNumberFormat="1" applyFont="1" applyFill="1" applyBorder="1" applyAlignment="1" applyProtection="1">
      <alignment horizontal="left" vertical="center"/>
    </xf>
    <xf numFmtId="0" fontId="2" fillId="2" borderId="8" xfId="0" applyNumberFormat="1" applyFont="1" applyFill="1" applyBorder="1" applyAlignment="1" applyProtection="1">
      <alignment horizontal="left" vertical="center"/>
    </xf>
    <xf numFmtId="0" fontId="6" fillId="0" borderId="10" xfId="0" applyNumberFormat="1" applyFont="1" applyFill="1" applyBorder="1" applyAlignment="1" applyProtection="1">
      <alignment horizontal="right" vertical="center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left" vertical="center"/>
    </xf>
    <xf numFmtId="0" fontId="4" fillId="0" borderId="15" xfId="0" applyNumberFormat="1" applyFont="1" applyFill="1" applyBorder="1" applyAlignment="1" applyProtection="1">
      <alignment horizontal="center" vertical="center"/>
    </xf>
    <xf numFmtId="4" fontId="2" fillId="0" borderId="6" xfId="0" applyNumberFormat="1" applyFont="1" applyFill="1" applyBorder="1" applyAlignment="1" applyProtection="1">
      <alignment horizontal="right" vertical="center"/>
    </xf>
    <xf numFmtId="0" fontId="6" fillId="0" borderId="1" xfId="0" applyNumberFormat="1" applyFont="1" applyFill="1" applyBorder="1" applyAlignment="1" applyProtection="1">
      <alignment horizontal="righ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4" fontId="2" fillId="0" borderId="0" xfId="0" applyNumberFormat="1" applyFont="1" applyFill="1" applyBorder="1" applyAlignment="1" applyProtection="1">
      <alignment horizontal="right" vertical="center"/>
    </xf>
    <xf numFmtId="4" fontId="6" fillId="0" borderId="10" xfId="0" applyNumberFormat="1" applyFont="1" applyFill="1" applyBorder="1" applyAlignment="1" applyProtection="1">
      <alignment horizontal="right" vertical="center"/>
    </xf>
    <xf numFmtId="0" fontId="4" fillId="2" borderId="0" xfId="0" applyNumberFormat="1" applyFont="1" applyFill="1" applyBorder="1" applyAlignment="1" applyProtection="1">
      <alignment horizontal="left" vertical="center"/>
    </xf>
    <xf numFmtId="0" fontId="4" fillId="0" borderId="18" xfId="0" applyNumberFormat="1" applyFont="1" applyFill="1" applyBorder="1" applyAlignment="1" applyProtection="1">
      <alignment horizontal="center" vertical="center"/>
    </xf>
    <xf numFmtId="0" fontId="8" fillId="0" borderId="19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4" fontId="4" fillId="2" borderId="0" xfId="0" applyNumberFormat="1" applyFont="1" applyFill="1" applyBorder="1" applyAlignment="1" applyProtection="1">
      <alignment horizontal="right" vertical="center"/>
    </xf>
    <xf numFmtId="0" fontId="8" fillId="0" borderId="2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4" fillId="2" borderId="1" xfId="0" applyNumberFormat="1" applyFont="1" applyFill="1" applyBorder="1" applyAlignment="1" applyProtection="1">
      <alignment horizontal="right" vertical="center"/>
    </xf>
    <xf numFmtId="4" fontId="8" fillId="2" borderId="2" xfId="0" applyNumberFormat="1" applyFont="1" applyFill="1" applyBorder="1" applyAlignment="1" applyProtection="1">
      <alignment horizontal="right" vertical="center"/>
    </xf>
    <xf numFmtId="0" fontId="3" fillId="2" borderId="24" xfId="0" applyNumberFormat="1" applyFont="1" applyFill="1" applyBorder="1" applyAlignment="1" applyProtection="1">
      <alignment horizontal="center" vertical="center"/>
    </xf>
    <xf numFmtId="4" fontId="8" fillId="2" borderId="10" xfId="0" applyNumberFormat="1" applyFont="1" applyFill="1" applyBorder="1" applyAlignment="1" applyProtection="1">
      <alignment horizontal="righ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25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right" vertical="center"/>
    </xf>
    <xf numFmtId="0" fontId="4" fillId="0" borderId="26" xfId="0" applyNumberFormat="1" applyFont="1" applyFill="1" applyBorder="1" applyAlignment="1" applyProtection="1">
      <alignment horizontal="left" vertical="center"/>
    </xf>
    <xf numFmtId="4" fontId="6" fillId="0" borderId="12" xfId="0" applyNumberFormat="1" applyFont="1" applyFill="1" applyBorder="1" applyAlignment="1" applyProtection="1">
      <alignment horizontal="righ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4" fillId="2" borderId="1" xfId="0" applyNumberFormat="1" applyFont="1" applyFill="1" applyBorder="1" applyAlignment="1" applyProtection="1">
      <alignment horizontal="right" vertical="center"/>
    </xf>
    <xf numFmtId="0" fontId="4" fillId="2" borderId="0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4" fontId="4" fillId="2" borderId="0" xfId="0" applyNumberFormat="1" applyFont="1" applyFill="1" applyBorder="1" applyAlignment="1" applyProtection="1">
      <alignment horizontal="right" vertical="center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2" fillId="0" borderId="28" xfId="0" applyNumberFormat="1" applyFont="1" applyFill="1" applyBorder="1" applyAlignment="1" applyProtection="1">
      <alignment horizontal="left" vertical="center" wrapText="1"/>
    </xf>
    <xf numFmtId="0" fontId="2" fillId="0" borderId="14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2" fillId="0" borderId="14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4" fillId="0" borderId="14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/>
    </xf>
    <xf numFmtId="0" fontId="2" fillId="0" borderId="30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4" fillId="0" borderId="11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  <xf numFmtId="0" fontId="4" fillId="0" borderId="12" xfId="0" applyNumberFormat="1" applyFont="1" applyFill="1" applyBorder="1" applyAlignment="1" applyProtection="1">
      <alignment horizontal="left" vertical="center"/>
    </xf>
    <xf numFmtId="0" fontId="4" fillId="0" borderId="9" xfId="0" applyNumberFormat="1" applyFont="1" applyFill="1" applyBorder="1" applyAlignment="1" applyProtection="1">
      <alignment horizontal="center" vertical="center"/>
    </xf>
    <xf numFmtId="0" fontId="4" fillId="0" borderId="23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4" fillId="0" borderId="14" xfId="0" applyNumberFormat="1" applyFont="1" applyFill="1" applyBorder="1" applyAlignment="1" applyProtection="1">
      <alignment horizontal="left" vertical="center"/>
    </xf>
    <xf numFmtId="1" fontId="2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7" fillId="0" borderId="5" xfId="0" applyNumberFormat="1" applyFont="1" applyFill="1" applyBorder="1" applyAlignment="1" applyProtection="1">
      <alignment horizontal="left" vertical="center"/>
    </xf>
    <xf numFmtId="0" fontId="7" fillId="0" borderId="2" xfId="0" applyNumberFormat="1" applyFont="1" applyFill="1" applyBorder="1" applyAlignment="1" applyProtection="1">
      <alignment horizontal="left" vertical="center"/>
    </xf>
    <xf numFmtId="0" fontId="8" fillId="0" borderId="13" xfId="0" applyNumberFormat="1" applyFont="1" applyFill="1" applyBorder="1" applyAlignment="1" applyProtection="1">
      <alignment horizontal="left" vertical="center"/>
    </xf>
    <xf numFmtId="0" fontId="8" fillId="0" borderId="10" xfId="0" applyNumberFormat="1" applyFont="1" applyFill="1" applyBorder="1" applyAlignment="1" applyProtection="1">
      <alignment horizontal="left" vertical="center"/>
    </xf>
    <xf numFmtId="0" fontId="8" fillId="0" borderId="8" xfId="0" applyNumberFormat="1" applyFont="1" applyFill="1" applyBorder="1" applyAlignment="1" applyProtection="1">
      <alignment horizontal="left" vertical="center"/>
    </xf>
    <xf numFmtId="0" fontId="8" fillId="0" borderId="1" xfId="0" applyNumberFormat="1" applyFont="1" applyFill="1" applyBorder="1" applyAlignment="1" applyProtection="1">
      <alignment horizontal="left" vertical="center"/>
    </xf>
    <xf numFmtId="0" fontId="8" fillId="0" borderId="27" xfId="0" applyNumberFormat="1" applyFont="1" applyFill="1" applyBorder="1" applyAlignment="1" applyProtection="1">
      <alignment horizontal="left" vertical="center"/>
    </xf>
    <xf numFmtId="0" fontId="8" fillId="0" borderId="2" xfId="0" applyNumberFormat="1" applyFont="1" applyFill="1" applyBorder="1" applyAlignment="1" applyProtection="1">
      <alignment horizontal="left" vertical="center"/>
    </xf>
    <xf numFmtId="0" fontId="6" fillId="0" borderId="6" xfId="0" applyNumberFormat="1" applyFont="1" applyFill="1" applyBorder="1" applyAlignment="1" applyProtection="1">
      <alignment horizontal="left" vertical="center"/>
    </xf>
    <xf numFmtId="0" fontId="6" fillId="0" borderId="1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0" fontId="6" fillId="0" borderId="1" xfId="0" applyNumberFormat="1" applyFont="1" applyFill="1" applyBorder="1" applyAlignment="1" applyProtection="1">
      <alignment horizontal="left" vertical="center"/>
    </xf>
    <xf numFmtId="0" fontId="8" fillId="0" borderId="5" xfId="0" applyNumberFormat="1" applyFont="1" applyFill="1" applyBorder="1" applyAlignment="1" applyProtection="1">
      <alignment horizontal="left" vertical="center"/>
    </xf>
    <xf numFmtId="0" fontId="8" fillId="0" borderId="6" xfId="0" applyNumberFormat="1" applyFont="1" applyFill="1" applyBorder="1" applyAlignment="1" applyProtection="1">
      <alignment horizontal="left" vertical="center"/>
    </xf>
    <xf numFmtId="0" fontId="8" fillId="2" borderId="27" xfId="0" applyNumberFormat="1" applyFont="1" applyFill="1" applyBorder="1" applyAlignment="1" applyProtection="1">
      <alignment horizontal="left" vertical="center"/>
    </xf>
    <xf numFmtId="0" fontId="8" fillId="2" borderId="5" xfId="0" applyNumberFormat="1" applyFont="1" applyFill="1" applyBorder="1" applyAlignment="1" applyProtection="1">
      <alignment horizontal="left" vertical="center"/>
    </xf>
    <xf numFmtId="0" fontId="8" fillId="2" borderId="13" xfId="0" applyNumberFormat="1" applyFont="1" applyFill="1" applyBorder="1" applyAlignment="1" applyProtection="1">
      <alignment horizontal="left" vertical="center"/>
    </xf>
    <xf numFmtId="0" fontId="8" fillId="2" borderId="6" xfId="0" applyNumberFormat="1" applyFont="1" applyFill="1" applyBorder="1" applyAlignment="1" applyProtection="1">
      <alignment horizontal="left" vertical="center"/>
    </xf>
    <xf numFmtId="0" fontId="6" fillId="0" borderId="21" xfId="0" applyNumberFormat="1" applyFont="1" applyFill="1" applyBorder="1" applyAlignment="1" applyProtection="1">
      <alignment horizontal="left" vertical="center"/>
    </xf>
    <xf numFmtId="0" fontId="6" fillId="0" borderId="11" xfId="0" applyNumberFormat="1" applyFont="1" applyFill="1" applyBorder="1" applyAlignment="1" applyProtection="1">
      <alignment horizontal="left" vertical="center"/>
    </xf>
    <xf numFmtId="0" fontId="6" fillId="0" borderId="16" xfId="0" applyNumberFormat="1" applyFont="1" applyFill="1" applyBorder="1" applyAlignment="1" applyProtection="1">
      <alignment horizontal="left" vertical="center"/>
    </xf>
    <xf numFmtId="0" fontId="6" fillId="0" borderId="29" xfId="0" applyNumberFormat="1" applyFont="1" applyFill="1" applyBorder="1" applyAlignment="1" applyProtection="1">
      <alignment horizontal="left" vertical="center"/>
    </xf>
    <xf numFmtId="0" fontId="6" fillId="0" borderId="22" xfId="0" applyNumberFormat="1" applyFont="1" applyFill="1" applyBorder="1" applyAlignment="1" applyProtection="1">
      <alignment horizontal="left" vertical="center"/>
    </xf>
    <xf numFmtId="0" fontId="6" fillId="0" borderId="17" xfId="0" applyNumberFormat="1" applyFont="1" applyFill="1" applyBorder="1" applyAlignment="1" applyProtection="1">
      <alignment horizontal="left" vertical="center"/>
    </xf>
    <xf numFmtId="0" fontId="6" fillId="0" borderId="3" xfId="0" applyNumberFormat="1" applyFont="1" applyFill="1" applyBorder="1" applyAlignment="1" applyProtection="1">
      <alignment horizontal="left" vertical="center"/>
    </xf>
    <xf numFmtId="0" fontId="6" fillId="0" borderId="18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400050</xdr:colOff>
      <xdr:row>0</xdr:row>
      <xdr:rowOff>666750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6750" cy="666750"/>
        </a:xfrm>
        <a:prstGeom prst="rect">
          <a:avLst/>
        </a:prstGeom>
        <a:noFill/>
        <a:ln w="9525">
          <a:prstDash val="solid"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57150</xdr:colOff>
      <xdr:row>0</xdr:row>
      <xdr:rowOff>666750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6750" cy="666750"/>
        </a:xfrm>
        <a:prstGeom prst="rect">
          <a:avLst/>
        </a:prstGeom>
        <a:noFill/>
        <a:ln w="9525">
          <a:prstDash val="solid"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BV294"/>
  <sheetViews>
    <sheetView tabSelected="1" showOutlineSymbols="0" workbookViewId="0">
      <pane ySplit="11" topLeftCell="A12" activePane="bottomLeft" state="frozenSplit"/>
      <selection activeCell="A294" sqref="A294:M294"/>
      <selection pane="bottomLeft" sqref="A1:M1"/>
    </sheetView>
  </sheetViews>
  <sheetFormatPr defaultColWidth="14.1640625" defaultRowHeight="15" customHeight="1"/>
  <cols>
    <col min="1" max="1" width="4.6640625" customWidth="1"/>
    <col min="2" max="2" width="20.83203125" customWidth="1"/>
    <col min="3" max="3" width="63.83203125" customWidth="1"/>
    <col min="4" max="4" width="38.33203125" customWidth="1"/>
    <col min="7" max="7" width="6.83203125" customWidth="1"/>
    <col min="8" max="8" width="15" customWidth="1"/>
    <col min="9" max="9" width="14" customWidth="1"/>
    <col min="10" max="12" width="18.33203125" customWidth="1"/>
    <col min="13" max="13" width="15.6640625" customWidth="1"/>
    <col min="25" max="74" width="14.1640625" hidden="1" customWidth="1"/>
  </cols>
  <sheetData>
    <row r="1" spans="1:64" ht="54.75" customHeight="1">
      <c r="A1" s="51" t="s">
        <v>519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AS1" s="31">
        <f>SUM(AJ1:AJ2)</f>
        <v>0</v>
      </c>
      <c r="AT1" s="31">
        <f>SUM(AK1:AK2)</f>
        <v>0</v>
      </c>
      <c r="AU1" s="31">
        <f>SUM(AL1:AL2)</f>
        <v>0</v>
      </c>
    </row>
    <row r="2" spans="1:64" ht="15" customHeight="1">
      <c r="A2" s="52" t="s">
        <v>39</v>
      </c>
      <c r="B2" s="53"/>
      <c r="C2" s="59" t="s">
        <v>635</v>
      </c>
      <c r="D2" s="53" t="s">
        <v>2</v>
      </c>
      <c r="E2" s="53" t="s">
        <v>529</v>
      </c>
      <c r="F2" s="57" t="s">
        <v>485</v>
      </c>
      <c r="G2" s="57" t="s">
        <v>280</v>
      </c>
      <c r="H2" s="53"/>
      <c r="I2" s="53"/>
      <c r="J2" s="53"/>
      <c r="K2" s="53"/>
      <c r="L2" s="53"/>
      <c r="M2" s="61"/>
    </row>
    <row r="3" spans="1:64" ht="15" customHeight="1">
      <c r="A3" s="54"/>
      <c r="B3" s="55"/>
      <c r="C3" s="60"/>
      <c r="D3" s="55"/>
      <c r="E3" s="55"/>
      <c r="F3" s="55"/>
      <c r="G3" s="55"/>
      <c r="H3" s="55"/>
      <c r="I3" s="55"/>
      <c r="J3" s="55"/>
      <c r="K3" s="55"/>
      <c r="L3" s="55"/>
      <c r="M3" s="62"/>
    </row>
    <row r="4" spans="1:64" ht="15" customHeight="1">
      <c r="A4" s="56" t="s">
        <v>318</v>
      </c>
      <c r="B4" s="55"/>
      <c r="C4" s="58" t="s">
        <v>331</v>
      </c>
      <c r="D4" s="55" t="s">
        <v>510</v>
      </c>
      <c r="E4" s="55" t="s">
        <v>1</v>
      </c>
      <c r="F4" s="58" t="s">
        <v>403</v>
      </c>
      <c r="G4" s="58" t="s">
        <v>69</v>
      </c>
      <c r="H4" s="55"/>
      <c r="I4" s="55"/>
      <c r="J4" s="55"/>
      <c r="K4" s="55"/>
      <c r="L4" s="55"/>
      <c r="M4" s="62"/>
    </row>
    <row r="5" spans="1:64" ht="15" customHeight="1">
      <c r="A5" s="54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62"/>
    </row>
    <row r="6" spans="1:64" ht="15" customHeight="1">
      <c r="A6" s="56" t="s">
        <v>49</v>
      </c>
      <c r="B6" s="55"/>
      <c r="C6" s="58" t="s">
        <v>521</v>
      </c>
      <c r="D6" s="55" t="s">
        <v>180</v>
      </c>
      <c r="E6" s="55" t="s">
        <v>529</v>
      </c>
      <c r="F6" s="58" t="s">
        <v>501</v>
      </c>
      <c r="G6" s="55" t="s">
        <v>271</v>
      </c>
      <c r="H6" s="55"/>
      <c r="I6" s="55"/>
      <c r="J6" s="55"/>
      <c r="K6" s="55"/>
      <c r="L6" s="55"/>
      <c r="M6" s="62"/>
    </row>
    <row r="7" spans="1:64" ht="15" customHeight="1">
      <c r="A7" s="54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62"/>
    </row>
    <row r="8" spans="1:64" ht="15" customHeight="1">
      <c r="A8" s="56" t="s">
        <v>281</v>
      </c>
      <c r="B8" s="55"/>
      <c r="C8" s="58" t="s">
        <v>529</v>
      </c>
      <c r="D8" s="55" t="s">
        <v>325</v>
      </c>
      <c r="E8" s="55" t="s">
        <v>276</v>
      </c>
      <c r="F8" s="58" t="s">
        <v>387</v>
      </c>
      <c r="G8" s="58" t="s">
        <v>26</v>
      </c>
      <c r="H8" s="55"/>
      <c r="I8" s="55"/>
      <c r="J8" s="55"/>
      <c r="K8" s="55"/>
      <c r="L8" s="55"/>
      <c r="M8" s="62"/>
    </row>
    <row r="9" spans="1:64" ht="15" customHeight="1">
      <c r="A9" s="54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62"/>
    </row>
    <row r="10" spans="1:64" ht="15" customHeight="1">
      <c r="A10" s="42" t="s">
        <v>45</v>
      </c>
      <c r="B10" s="16" t="s">
        <v>186</v>
      </c>
      <c r="C10" s="63" t="s">
        <v>612</v>
      </c>
      <c r="D10" s="63"/>
      <c r="E10" s="63"/>
      <c r="F10" s="64"/>
      <c r="G10" s="16" t="s">
        <v>196</v>
      </c>
      <c r="H10" s="4" t="s">
        <v>343</v>
      </c>
      <c r="I10" s="17" t="s">
        <v>177</v>
      </c>
      <c r="J10" s="67" t="s">
        <v>369</v>
      </c>
      <c r="K10" s="68"/>
      <c r="L10" s="69"/>
      <c r="M10" s="4" t="s">
        <v>154</v>
      </c>
      <c r="BK10" s="9" t="s">
        <v>230</v>
      </c>
      <c r="BL10" s="48" t="s">
        <v>305</v>
      </c>
    </row>
    <row r="11" spans="1:64" ht="15" customHeight="1">
      <c r="A11" s="40" t="s">
        <v>529</v>
      </c>
      <c r="B11" s="44" t="s">
        <v>529</v>
      </c>
      <c r="C11" s="65" t="s">
        <v>567</v>
      </c>
      <c r="D11" s="65"/>
      <c r="E11" s="65"/>
      <c r="F11" s="66"/>
      <c r="G11" s="44" t="s">
        <v>529</v>
      </c>
      <c r="H11" s="44" t="s">
        <v>529</v>
      </c>
      <c r="I11" s="2" t="s">
        <v>540</v>
      </c>
      <c r="J11" s="20" t="s">
        <v>30</v>
      </c>
      <c r="K11" s="18" t="s">
        <v>114</v>
      </c>
      <c r="L11" s="27" t="s">
        <v>57</v>
      </c>
      <c r="M11" s="18" t="s">
        <v>147</v>
      </c>
      <c r="Z11" s="9" t="s">
        <v>449</v>
      </c>
      <c r="AA11" s="9" t="s">
        <v>353</v>
      </c>
      <c r="AB11" s="9" t="s">
        <v>587</v>
      </c>
      <c r="AC11" s="9" t="s">
        <v>160</v>
      </c>
      <c r="AD11" s="9" t="s">
        <v>488</v>
      </c>
      <c r="AE11" s="9" t="s">
        <v>211</v>
      </c>
      <c r="AF11" s="9" t="s">
        <v>514</v>
      </c>
      <c r="AG11" s="9" t="s">
        <v>248</v>
      </c>
      <c r="AH11" s="9" t="s">
        <v>149</v>
      </c>
      <c r="BH11" s="9" t="s">
        <v>451</v>
      </c>
      <c r="BI11" s="9" t="s">
        <v>576</v>
      </c>
      <c r="BJ11" s="9" t="s">
        <v>621</v>
      </c>
    </row>
    <row r="12" spans="1:64" ht="15" customHeight="1">
      <c r="A12" s="14" t="s">
        <v>405</v>
      </c>
      <c r="B12" s="46" t="s">
        <v>307</v>
      </c>
      <c r="C12" s="70" t="s">
        <v>347</v>
      </c>
      <c r="D12" s="70"/>
      <c r="E12" s="70"/>
      <c r="F12" s="70"/>
      <c r="G12" s="33" t="s">
        <v>529</v>
      </c>
      <c r="H12" s="33" t="s">
        <v>529</v>
      </c>
      <c r="I12" s="33" t="s">
        <v>529</v>
      </c>
      <c r="J12" s="50">
        <f>SUM(J13:J15)</f>
        <v>0</v>
      </c>
      <c r="K12" s="50">
        <f>SUM(K13:K15)</f>
        <v>0</v>
      </c>
      <c r="L12" s="50">
        <f>SUM(L13:L15)</f>
        <v>0</v>
      </c>
      <c r="M12" s="45" t="s">
        <v>405</v>
      </c>
      <c r="AI12" s="9" t="s">
        <v>405</v>
      </c>
      <c r="AS12" s="31">
        <f>SUM(AJ13:AJ15)</f>
        <v>0</v>
      </c>
      <c r="AT12" s="31">
        <f>SUM(AK13:AK15)</f>
        <v>0</v>
      </c>
      <c r="AU12" s="31">
        <f>SUM(AL13:AL15)</f>
        <v>0</v>
      </c>
    </row>
    <row r="13" spans="1:64" ht="15" customHeight="1">
      <c r="A13" s="39" t="s">
        <v>563</v>
      </c>
      <c r="B13" s="8" t="s">
        <v>538</v>
      </c>
      <c r="C13" s="55" t="s">
        <v>302</v>
      </c>
      <c r="D13" s="55"/>
      <c r="E13" s="55"/>
      <c r="F13" s="55"/>
      <c r="G13" s="8" t="s">
        <v>433</v>
      </c>
      <c r="H13" s="24">
        <v>1</v>
      </c>
      <c r="I13" s="24">
        <v>0</v>
      </c>
      <c r="J13" s="24">
        <f>H13*AO13</f>
        <v>0</v>
      </c>
      <c r="K13" s="24">
        <f>H13*AP13</f>
        <v>0</v>
      </c>
      <c r="L13" s="24">
        <f>H13*I13</f>
        <v>0</v>
      </c>
      <c r="M13" s="47" t="s">
        <v>405</v>
      </c>
      <c r="Z13" s="24">
        <f>IF(AQ13="5",BJ13,0)</f>
        <v>0</v>
      </c>
      <c r="AB13" s="24">
        <f>IF(AQ13="1",BH13,0)</f>
        <v>0</v>
      </c>
      <c r="AC13" s="24">
        <f>IF(AQ13="1",BI13,0)</f>
        <v>0</v>
      </c>
      <c r="AD13" s="24">
        <f>IF(AQ13="7",BH13,0)</f>
        <v>0</v>
      </c>
      <c r="AE13" s="24">
        <f>IF(AQ13="7",BI13,0)</f>
        <v>0</v>
      </c>
      <c r="AF13" s="24">
        <f>IF(AQ13="2",BH13,0)</f>
        <v>0</v>
      </c>
      <c r="AG13" s="24">
        <f>IF(AQ13="2",BI13,0)</f>
        <v>0</v>
      </c>
      <c r="AH13" s="24">
        <f>IF(AQ13="0",BJ13,0)</f>
        <v>0</v>
      </c>
      <c r="AI13" s="9" t="s">
        <v>405</v>
      </c>
      <c r="AJ13" s="24">
        <f>IF(AN13=0,L13,0)</f>
        <v>0</v>
      </c>
      <c r="AK13" s="24">
        <f>IF(AN13=15,L13,0)</f>
        <v>0</v>
      </c>
      <c r="AL13" s="24">
        <f>IF(AN13=21,L13,0)</f>
        <v>0</v>
      </c>
      <c r="AN13" s="24">
        <v>21</v>
      </c>
      <c r="AO13" s="24">
        <f>I13*0</f>
        <v>0</v>
      </c>
      <c r="AP13" s="24">
        <f>I13*(1-0)</f>
        <v>0</v>
      </c>
      <c r="AQ13" s="30" t="s">
        <v>563</v>
      </c>
      <c r="AV13" s="24">
        <f>AW13+AX13</f>
        <v>0</v>
      </c>
      <c r="AW13" s="24">
        <f>H13*AO13</f>
        <v>0</v>
      </c>
      <c r="AX13" s="24">
        <f>H13*AP13</f>
        <v>0</v>
      </c>
      <c r="AY13" s="30" t="s">
        <v>507</v>
      </c>
      <c r="AZ13" s="30" t="s">
        <v>507</v>
      </c>
      <c r="BA13" s="9" t="s">
        <v>441</v>
      </c>
      <c r="BC13" s="24">
        <f>AW13+AX13</f>
        <v>0</v>
      </c>
      <c r="BD13" s="24">
        <f>I13/(100-BE13)*100</f>
        <v>0</v>
      </c>
      <c r="BE13" s="24">
        <v>0</v>
      </c>
      <c r="BF13" s="24">
        <f>13</f>
        <v>13</v>
      </c>
      <c r="BH13" s="24">
        <f>H13*AO13</f>
        <v>0</v>
      </c>
      <c r="BI13" s="24">
        <f>H13*AP13</f>
        <v>0</v>
      </c>
      <c r="BJ13" s="24">
        <f>H13*I13</f>
        <v>0</v>
      </c>
      <c r="BK13" s="24"/>
      <c r="BL13" s="24">
        <v>0</v>
      </c>
    </row>
    <row r="14" spans="1:64" ht="15" customHeight="1">
      <c r="A14" s="10"/>
      <c r="C14" s="34" t="s">
        <v>97</v>
      </c>
      <c r="F14" s="34" t="s">
        <v>405</v>
      </c>
      <c r="H14" s="3">
        <v>1</v>
      </c>
      <c r="M14" s="12"/>
    </row>
    <row r="15" spans="1:64" ht="15" customHeight="1">
      <c r="A15" s="39" t="s">
        <v>402</v>
      </c>
      <c r="B15" s="8" t="s">
        <v>19</v>
      </c>
      <c r="C15" s="55" t="s">
        <v>82</v>
      </c>
      <c r="D15" s="55"/>
      <c r="E15" s="55"/>
      <c r="F15" s="55"/>
      <c r="G15" s="8" t="s">
        <v>433</v>
      </c>
      <c r="H15" s="24">
        <v>1</v>
      </c>
      <c r="I15" s="24">
        <v>0</v>
      </c>
      <c r="J15" s="24">
        <f>H15*AO15</f>
        <v>0</v>
      </c>
      <c r="K15" s="24">
        <f>H15*AP15</f>
        <v>0</v>
      </c>
      <c r="L15" s="24">
        <f>H15*I15</f>
        <v>0</v>
      </c>
      <c r="M15" s="47" t="s">
        <v>405</v>
      </c>
      <c r="Z15" s="24">
        <f>IF(AQ15="5",BJ15,0)</f>
        <v>0</v>
      </c>
      <c r="AB15" s="24">
        <f>IF(AQ15="1",BH15,0)</f>
        <v>0</v>
      </c>
      <c r="AC15" s="24">
        <f>IF(AQ15="1",BI15,0)</f>
        <v>0</v>
      </c>
      <c r="AD15" s="24">
        <f>IF(AQ15="7",BH15,0)</f>
        <v>0</v>
      </c>
      <c r="AE15" s="24">
        <f>IF(AQ15="7",BI15,0)</f>
        <v>0</v>
      </c>
      <c r="AF15" s="24">
        <f>IF(AQ15="2",BH15,0)</f>
        <v>0</v>
      </c>
      <c r="AG15" s="24">
        <f>IF(AQ15="2",BI15,0)</f>
        <v>0</v>
      </c>
      <c r="AH15" s="24">
        <f>IF(AQ15="0",BJ15,0)</f>
        <v>0</v>
      </c>
      <c r="AI15" s="9" t="s">
        <v>405</v>
      </c>
      <c r="AJ15" s="24">
        <f>IF(AN15=0,L15,0)</f>
        <v>0</v>
      </c>
      <c r="AK15" s="24">
        <f>IF(AN15=15,L15,0)</f>
        <v>0</v>
      </c>
      <c r="AL15" s="24">
        <f>IF(AN15=21,L15,0)</f>
        <v>0</v>
      </c>
      <c r="AN15" s="24">
        <v>21</v>
      </c>
      <c r="AO15" s="24">
        <f>I15*0</f>
        <v>0</v>
      </c>
      <c r="AP15" s="24">
        <f>I15*(1-0)</f>
        <v>0</v>
      </c>
      <c r="AQ15" s="30" t="s">
        <v>563</v>
      </c>
      <c r="AV15" s="24">
        <f>AW15+AX15</f>
        <v>0</v>
      </c>
      <c r="AW15" s="24">
        <f>H15*AO15</f>
        <v>0</v>
      </c>
      <c r="AX15" s="24">
        <f>H15*AP15</f>
        <v>0</v>
      </c>
      <c r="AY15" s="30" t="s">
        <v>507</v>
      </c>
      <c r="AZ15" s="30" t="s">
        <v>507</v>
      </c>
      <c r="BA15" s="9" t="s">
        <v>441</v>
      </c>
      <c r="BC15" s="24">
        <f>AW15+AX15</f>
        <v>0</v>
      </c>
      <c r="BD15" s="24">
        <f>I15/(100-BE15)*100</f>
        <v>0</v>
      </c>
      <c r="BE15" s="24">
        <v>0</v>
      </c>
      <c r="BF15" s="24">
        <f>15</f>
        <v>15</v>
      </c>
      <c r="BH15" s="24">
        <f>H15*AO15</f>
        <v>0</v>
      </c>
      <c r="BI15" s="24">
        <f>H15*AP15</f>
        <v>0</v>
      </c>
      <c r="BJ15" s="24">
        <f>H15*I15</f>
        <v>0</v>
      </c>
      <c r="BK15" s="24"/>
      <c r="BL15" s="24">
        <v>0</v>
      </c>
    </row>
    <row r="16" spans="1:64" ht="15" customHeight="1">
      <c r="A16" s="10"/>
      <c r="C16" s="34" t="s">
        <v>138</v>
      </c>
      <c r="F16" s="34" t="s">
        <v>405</v>
      </c>
      <c r="H16" s="3">
        <v>1</v>
      </c>
      <c r="M16" s="12"/>
    </row>
    <row r="17" spans="1:64" ht="15" customHeight="1">
      <c r="A17" s="19" t="s">
        <v>405</v>
      </c>
      <c r="B17" s="26" t="s">
        <v>482</v>
      </c>
      <c r="C17" s="70" t="s">
        <v>319</v>
      </c>
      <c r="D17" s="70"/>
      <c r="E17" s="70"/>
      <c r="F17" s="70"/>
      <c r="G17" s="11" t="s">
        <v>529</v>
      </c>
      <c r="H17" s="11" t="s">
        <v>529</v>
      </c>
      <c r="I17" s="11" t="s">
        <v>529</v>
      </c>
      <c r="J17" s="31">
        <f>SUM(J18:J22)</f>
        <v>0</v>
      </c>
      <c r="K17" s="31">
        <f>SUM(K18:K22)</f>
        <v>0</v>
      </c>
      <c r="L17" s="31">
        <f>SUM(L18:L22)</f>
        <v>0</v>
      </c>
      <c r="M17" s="35" t="s">
        <v>405</v>
      </c>
      <c r="AI17" s="9" t="s">
        <v>405</v>
      </c>
      <c r="AS17" s="31">
        <f>SUM(AJ18:AJ22)</f>
        <v>0</v>
      </c>
      <c r="AT17" s="31">
        <f>SUM(AK18:AK22)</f>
        <v>0</v>
      </c>
      <c r="AU17" s="31">
        <f>SUM(AL18:AL22)</f>
        <v>0</v>
      </c>
    </row>
    <row r="18" spans="1:64" ht="15" customHeight="1">
      <c r="A18" s="39" t="s">
        <v>492</v>
      </c>
      <c r="B18" s="8" t="s">
        <v>423</v>
      </c>
      <c r="C18" s="55" t="s">
        <v>360</v>
      </c>
      <c r="D18" s="55"/>
      <c r="E18" s="55"/>
      <c r="F18" s="55"/>
      <c r="G18" s="8" t="s">
        <v>477</v>
      </c>
      <c r="H18" s="24">
        <v>1</v>
      </c>
      <c r="I18" s="24">
        <v>0</v>
      </c>
      <c r="J18" s="24">
        <f>H18*AO18</f>
        <v>0</v>
      </c>
      <c r="K18" s="24">
        <f>H18*AP18</f>
        <v>0</v>
      </c>
      <c r="L18" s="24">
        <f>H18*I18</f>
        <v>0</v>
      </c>
      <c r="M18" s="47" t="s">
        <v>399</v>
      </c>
      <c r="Z18" s="24">
        <f>IF(AQ18="5",BJ18,0)</f>
        <v>0</v>
      </c>
      <c r="AB18" s="24">
        <f>IF(AQ18="1",BH18,0)</f>
        <v>0</v>
      </c>
      <c r="AC18" s="24">
        <f>IF(AQ18="1",BI18,0)</f>
        <v>0</v>
      </c>
      <c r="AD18" s="24">
        <f>IF(AQ18="7",BH18,0)</f>
        <v>0</v>
      </c>
      <c r="AE18" s="24">
        <f>IF(AQ18="7",BI18,0)</f>
        <v>0</v>
      </c>
      <c r="AF18" s="24">
        <f>IF(AQ18="2",BH18,0)</f>
        <v>0</v>
      </c>
      <c r="AG18" s="24">
        <f>IF(AQ18="2",BI18,0)</f>
        <v>0</v>
      </c>
      <c r="AH18" s="24">
        <f>IF(AQ18="0",BJ18,0)</f>
        <v>0</v>
      </c>
      <c r="AI18" s="9" t="s">
        <v>405</v>
      </c>
      <c r="AJ18" s="24">
        <f>IF(AN18=0,L18,0)</f>
        <v>0</v>
      </c>
      <c r="AK18" s="24">
        <f>IF(AN18=15,L18,0)</f>
        <v>0</v>
      </c>
      <c r="AL18" s="24">
        <f>IF(AN18=21,L18,0)</f>
        <v>0</v>
      </c>
      <c r="AN18" s="24">
        <v>21</v>
      </c>
      <c r="AO18" s="24">
        <f>I18*0.352956636005256</f>
        <v>0</v>
      </c>
      <c r="AP18" s="24">
        <f>I18*(1-0.352956636005256)</f>
        <v>0</v>
      </c>
      <c r="AQ18" s="30" t="s">
        <v>563</v>
      </c>
      <c r="AV18" s="24">
        <f>AW18+AX18</f>
        <v>0</v>
      </c>
      <c r="AW18" s="24">
        <f>H18*AO18</f>
        <v>0</v>
      </c>
      <c r="AX18" s="24">
        <f>H18*AP18</f>
        <v>0</v>
      </c>
      <c r="AY18" s="30" t="s">
        <v>62</v>
      </c>
      <c r="AZ18" s="30" t="s">
        <v>64</v>
      </c>
      <c r="BA18" s="9" t="s">
        <v>441</v>
      </c>
      <c r="BC18" s="24">
        <f>AW18+AX18</f>
        <v>0</v>
      </c>
      <c r="BD18" s="24">
        <f>I18/(100-BE18)*100</f>
        <v>0</v>
      </c>
      <c r="BE18" s="24">
        <v>0</v>
      </c>
      <c r="BF18" s="24">
        <f>18</f>
        <v>18</v>
      </c>
      <c r="BH18" s="24">
        <f>H18*AO18</f>
        <v>0</v>
      </c>
      <c r="BI18" s="24">
        <f>H18*AP18</f>
        <v>0</v>
      </c>
      <c r="BJ18" s="24">
        <f>H18*I18</f>
        <v>0</v>
      </c>
      <c r="BK18" s="24"/>
      <c r="BL18" s="24">
        <v>11</v>
      </c>
    </row>
    <row r="19" spans="1:64" ht="15" customHeight="1">
      <c r="A19" s="10"/>
      <c r="C19" s="34" t="s">
        <v>12</v>
      </c>
      <c r="F19" s="34" t="s">
        <v>405</v>
      </c>
      <c r="H19" s="3">
        <v>1</v>
      </c>
      <c r="M19" s="12"/>
    </row>
    <row r="20" spans="1:64" ht="15" customHeight="1">
      <c r="A20" s="39" t="s">
        <v>65</v>
      </c>
      <c r="B20" s="8" t="s">
        <v>586</v>
      </c>
      <c r="C20" s="55" t="s">
        <v>118</v>
      </c>
      <c r="D20" s="55"/>
      <c r="E20" s="55"/>
      <c r="F20" s="55"/>
      <c r="G20" s="8" t="s">
        <v>477</v>
      </c>
      <c r="H20" s="24">
        <v>1</v>
      </c>
      <c r="I20" s="24">
        <v>0</v>
      </c>
      <c r="J20" s="24">
        <f>H20*AO20</f>
        <v>0</v>
      </c>
      <c r="K20" s="24">
        <f>H20*AP20</f>
        <v>0</v>
      </c>
      <c r="L20" s="24">
        <f>H20*I20</f>
        <v>0</v>
      </c>
      <c r="M20" s="47" t="s">
        <v>399</v>
      </c>
      <c r="Z20" s="24">
        <f>IF(AQ20="5",BJ20,0)</f>
        <v>0</v>
      </c>
      <c r="AB20" s="24">
        <f>IF(AQ20="1",BH20,0)</f>
        <v>0</v>
      </c>
      <c r="AC20" s="24">
        <f>IF(AQ20="1",BI20,0)</f>
        <v>0</v>
      </c>
      <c r="AD20" s="24">
        <f>IF(AQ20="7",BH20,0)</f>
        <v>0</v>
      </c>
      <c r="AE20" s="24">
        <f>IF(AQ20="7",BI20,0)</f>
        <v>0</v>
      </c>
      <c r="AF20" s="24">
        <f>IF(AQ20="2",BH20,0)</f>
        <v>0</v>
      </c>
      <c r="AG20" s="24">
        <f>IF(AQ20="2",BI20,0)</f>
        <v>0</v>
      </c>
      <c r="AH20" s="24">
        <f>IF(AQ20="0",BJ20,0)</f>
        <v>0</v>
      </c>
      <c r="AI20" s="9" t="s">
        <v>405</v>
      </c>
      <c r="AJ20" s="24">
        <f>IF(AN20=0,L20,0)</f>
        <v>0</v>
      </c>
      <c r="AK20" s="24">
        <f>IF(AN20=15,L20,0)</f>
        <v>0</v>
      </c>
      <c r="AL20" s="24">
        <f>IF(AN20=21,L20,0)</f>
        <v>0</v>
      </c>
      <c r="AN20" s="24">
        <v>21</v>
      </c>
      <c r="AO20" s="24">
        <f>I20*0.310805661046794</f>
        <v>0</v>
      </c>
      <c r="AP20" s="24">
        <f>I20*(1-0.310805661046794)</f>
        <v>0</v>
      </c>
      <c r="AQ20" s="30" t="s">
        <v>563</v>
      </c>
      <c r="AV20" s="24">
        <f>AW20+AX20</f>
        <v>0</v>
      </c>
      <c r="AW20" s="24">
        <f>H20*AO20</f>
        <v>0</v>
      </c>
      <c r="AX20" s="24">
        <f>H20*AP20</f>
        <v>0</v>
      </c>
      <c r="AY20" s="30" t="s">
        <v>62</v>
      </c>
      <c r="AZ20" s="30" t="s">
        <v>64</v>
      </c>
      <c r="BA20" s="9" t="s">
        <v>441</v>
      </c>
      <c r="BC20" s="24">
        <f>AW20+AX20</f>
        <v>0</v>
      </c>
      <c r="BD20" s="24">
        <f>I20/(100-BE20)*100</f>
        <v>0</v>
      </c>
      <c r="BE20" s="24">
        <v>0</v>
      </c>
      <c r="BF20" s="24">
        <f>20</f>
        <v>20</v>
      </c>
      <c r="BH20" s="24">
        <f>H20*AO20</f>
        <v>0</v>
      </c>
      <c r="BI20" s="24">
        <f>H20*AP20</f>
        <v>0</v>
      </c>
      <c r="BJ20" s="24">
        <f>H20*I20</f>
        <v>0</v>
      </c>
      <c r="BK20" s="24"/>
      <c r="BL20" s="24">
        <v>11</v>
      </c>
    </row>
    <row r="21" spans="1:64" ht="15" customHeight="1">
      <c r="A21" s="10"/>
      <c r="C21" s="34" t="s">
        <v>563</v>
      </c>
      <c r="F21" s="34" t="s">
        <v>405</v>
      </c>
      <c r="H21" s="3">
        <v>1</v>
      </c>
      <c r="M21" s="12"/>
    </row>
    <row r="22" spans="1:64" ht="15" customHeight="1">
      <c r="A22" s="39" t="s">
        <v>311</v>
      </c>
      <c r="B22" s="8" t="s">
        <v>594</v>
      </c>
      <c r="C22" s="55" t="s">
        <v>244</v>
      </c>
      <c r="D22" s="55"/>
      <c r="E22" s="55"/>
      <c r="F22" s="55"/>
      <c r="G22" s="8" t="s">
        <v>556</v>
      </c>
      <c r="H22" s="24">
        <v>5</v>
      </c>
      <c r="I22" s="24">
        <v>0</v>
      </c>
      <c r="J22" s="24">
        <f>H22*AO22</f>
        <v>0</v>
      </c>
      <c r="K22" s="24">
        <f>H22*AP22</f>
        <v>0</v>
      </c>
      <c r="L22" s="24">
        <f>H22*I22</f>
        <v>0</v>
      </c>
      <c r="M22" s="47" t="s">
        <v>399</v>
      </c>
      <c r="Z22" s="24">
        <f>IF(AQ22="5",BJ22,0)</f>
        <v>0</v>
      </c>
      <c r="AB22" s="24">
        <f>IF(AQ22="1",BH22,0)</f>
        <v>0</v>
      </c>
      <c r="AC22" s="24">
        <f>IF(AQ22="1",BI22,0)</f>
        <v>0</v>
      </c>
      <c r="AD22" s="24">
        <f>IF(AQ22="7",BH22,0)</f>
        <v>0</v>
      </c>
      <c r="AE22" s="24">
        <f>IF(AQ22="7",BI22,0)</f>
        <v>0</v>
      </c>
      <c r="AF22" s="24">
        <f>IF(AQ22="2",BH22,0)</f>
        <v>0</v>
      </c>
      <c r="AG22" s="24">
        <f>IF(AQ22="2",BI22,0)</f>
        <v>0</v>
      </c>
      <c r="AH22" s="24">
        <f>IF(AQ22="0",BJ22,0)</f>
        <v>0</v>
      </c>
      <c r="AI22" s="9" t="s">
        <v>405</v>
      </c>
      <c r="AJ22" s="24">
        <f>IF(AN22=0,L22,0)</f>
        <v>0</v>
      </c>
      <c r="AK22" s="24">
        <f>IF(AN22=15,L22,0)</f>
        <v>0</v>
      </c>
      <c r="AL22" s="24">
        <f>IF(AN22=21,L22,0)</f>
        <v>0</v>
      </c>
      <c r="AN22" s="24">
        <v>21</v>
      </c>
      <c r="AO22" s="24">
        <f>I22*0</f>
        <v>0</v>
      </c>
      <c r="AP22" s="24">
        <f>I22*(1-0)</f>
        <v>0</v>
      </c>
      <c r="AQ22" s="30" t="s">
        <v>563</v>
      </c>
      <c r="AV22" s="24">
        <f>AW22+AX22</f>
        <v>0</v>
      </c>
      <c r="AW22" s="24">
        <f>H22*AO22</f>
        <v>0</v>
      </c>
      <c r="AX22" s="24">
        <f>H22*AP22</f>
        <v>0</v>
      </c>
      <c r="AY22" s="30" t="s">
        <v>62</v>
      </c>
      <c r="AZ22" s="30" t="s">
        <v>64</v>
      </c>
      <c r="BA22" s="9" t="s">
        <v>441</v>
      </c>
      <c r="BC22" s="24">
        <f>AW22+AX22</f>
        <v>0</v>
      </c>
      <c r="BD22" s="24">
        <f>I22/(100-BE22)*100</f>
        <v>0</v>
      </c>
      <c r="BE22" s="24">
        <v>0</v>
      </c>
      <c r="BF22" s="24">
        <f>22</f>
        <v>22</v>
      </c>
      <c r="BH22" s="24">
        <f>H22*AO22</f>
        <v>0</v>
      </c>
      <c r="BI22" s="24">
        <f>H22*AP22</f>
        <v>0</v>
      </c>
      <c r="BJ22" s="24">
        <f>H22*I22</f>
        <v>0</v>
      </c>
      <c r="BK22" s="24"/>
      <c r="BL22" s="24">
        <v>11</v>
      </c>
    </row>
    <row r="23" spans="1:64" ht="15" customHeight="1">
      <c r="A23" s="10"/>
      <c r="C23" s="34" t="s">
        <v>311</v>
      </c>
      <c r="F23" s="34" t="s">
        <v>405</v>
      </c>
      <c r="H23" s="3">
        <v>5</v>
      </c>
      <c r="M23" s="12"/>
    </row>
    <row r="24" spans="1:64" ht="15" customHeight="1">
      <c r="A24" s="19" t="s">
        <v>405</v>
      </c>
      <c r="B24" s="26" t="s">
        <v>167</v>
      </c>
      <c r="C24" s="70" t="s">
        <v>3</v>
      </c>
      <c r="D24" s="70"/>
      <c r="E24" s="70"/>
      <c r="F24" s="70"/>
      <c r="G24" s="11" t="s">
        <v>529</v>
      </c>
      <c r="H24" s="11" t="s">
        <v>529</v>
      </c>
      <c r="I24" s="11" t="s">
        <v>529</v>
      </c>
      <c r="J24" s="31">
        <f>SUM(J25:J35)</f>
        <v>0</v>
      </c>
      <c r="K24" s="31">
        <f>SUM(K25:K35)</f>
        <v>0</v>
      </c>
      <c r="L24" s="31">
        <f>SUM(L25:L35)</f>
        <v>0</v>
      </c>
      <c r="M24" s="35" t="s">
        <v>405</v>
      </c>
      <c r="AI24" s="9" t="s">
        <v>405</v>
      </c>
      <c r="AS24" s="31">
        <f>SUM(AJ25:AJ35)</f>
        <v>0</v>
      </c>
      <c r="AT24" s="31">
        <f>SUM(AK25:AK35)</f>
        <v>0</v>
      </c>
      <c r="AU24" s="31">
        <f>SUM(AL25:AL35)</f>
        <v>0</v>
      </c>
    </row>
    <row r="25" spans="1:64" ht="15" customHeight="1">
      <c r="A25" s="39" t="s">
        <v>95</v>
      </c>
      <c r="B25" s="8" t="s">
        <v>569</v>
      </c>
      <c r="C25" s="55" t="s">
        <v>579</v>
      </c>
      <c r="D25" s="55"/>
      <c r="E25" s="55"/>
      <c r="F25" s="55"/>
      <c r="G25" s="8" t="s">
        <v>547</v>
      </c>
      <c r="H25" s="24">
        <v>76.257499999999993</v>
      </c>
      <c r="I25" s="24">
        <v>0</v>
      </c>
      <c r="J25" s="24">
        <f>H25*AO25</f>
        <v>0</v>
      </c>
      <c r="K25" s="24">
        <f>H25*AP25</f>
        <v>0</v>
      </c>
      <c r="L25" s="24">
        <f>H25*I25</f>
        <v>0</v>
      </c>
      <c r="M25" s="47" t="s">
        <v>399</v>
      </c>
      <c r="Z25" s="24">
        <f>IF(AQ25="5",BJ25,0)</f>
        <v>0</v>
      </c>
      <c r="AB25" s="24">
        <f>IF(AQ25="1",BH25,0)</f>
        <v>0</v>
      </c>
      <c r="AC25" s="24">
        <f>IF(AQ25="1",BI25,0)</f>
        <v>0</v>
      </c>
      <c r="AD25" s="24">
        <f>IF(AQ25="7",BH25,0)</f>
        <v>0</v>
      </c>
      <c r="AE25" s="24">
        <f>IF(AQ25="7",BI25,0)</f>
        <v>0</v>
      </c>
      <c r="AF25" s="24">
        <f>IF(AQ25="2",BH25,0)</f>
        <v>0</v>
      </c>
      <c r="AG25" s="24">
        <f>IF(AQ25="2",BI25,0)</f>
        <v>0</v>
      </c>
      <c r="AH25" s="24">
        <f>IF(AQ25="0",BJ25,0)</f>
        <v>0</v>
      </c>
      <c r="AI25" s="9" t="s">
        <v>405</v>
      </c>
      <c r="AJ25" s="24">
        <f>IF(AN25=0,L25,0)</f>
        <v>0</v>
      </c>
      <c r="AK25" s="24">
        <f>IF(AN25=15,L25,0)</f>
        <v>0</v>
      </c>
      <c r="AL25" s="24">
        <f>IF(AN25=21,L25,0)</f>
        <v>0</v>
      </c>
      <c r="AN25" s="24">
        <v>21</v>
      </c>
      <c r="AO25" s="24">
        <f>I25*0</f>
        <v>0</v>
      </c>
      <c r="AP25" s="24">
        <f>I25*(1-0)</f>
        <v>0</v>
      </c>
      <c r="AQ25" s="30" t="s">
        <v>563</v>
      </c>
      <c r="AV25" s="24">
        <f>AW25+AX25</f>
        <v>0</v>
      </c>
      <c r="AW25" s="24">
        <f>H25*AO25</f>
        <v>0</v>
      </c>
      <c r="AX25" s="24">
        <f>H25*AP25</f>
        <v>0</v>
      </c>
      <c r="AY25" s="30" t="s">
        <v>517</v>
      </c>
      <c r="AZ25" s="30" t="s">
        <v>64</v>
      </c>
      <c r="BA25" s="9" t="s">
        <v>441</v>
      </c>
      <c r="BC25" s="24">
        <f>AW25+AX25</f>
        <v>0</v>
      </c>
      <c r="BD25" s="24">
        <f>I25/(100-BE25)*100</f>
        <v>0</v>
      </c>
      <c r="BE25" s="24">
        <v>0</v>
      </c>
      <c r="BF25" s="24">
        <f>25</f>
        <v>25</v>
      </c>
      <c r="BH25" s="24">
        <f>H25*AO25</f>
        <v>0</v>
      </c>
      <c r="BI25" s="24">
        <f>H25*AP25</f>
        <v>0</v>
      </c>
      <c r="BJ25" s="24">
        <f>H25*I25</f>
        <v>0</v>
      </c>
      <c r="BK25" s="24"/>
      <c r="BL25" s="24">
        <v>13</v>
      </c>
    </row>
    <row r="26" spans="1:64" ht="15" customHeight="1">
      <c r="A26" s="10"/>
      <c r="C26" s="34" t="s">
        <v>91</v>
      </c>
      <c r="F26" s="34" t="s">
        <v>405</v>
      </c>
      <c r="H26" s="3">
        <v>76.257500000000007</v>
      </c>
      <c r="M26" s="12"/>
    </row>
    <row r="27" spans="1:64" ht="15" customHeight="1">
      <c r="A27" s="39" t="s">
        <v>566</v>
      </c>
      <c r="B27" s="8" t="s">
        <v>505</v>
      </c>
      <c r="C27" s="55" t="s">
        <v>191</v>
      </c>
      <c r="D27" s="55"/>
      <c r="E27" s="55"/>
      <c r="F27" s="55"/>
      <c r="G27" s="8" t="s">
        <v>547</v>
      </c>
      <c r="H27" s="24">
        <v>15.2515</v>
      </c>
      <c r="I27" s="24">
        <v>0</v>
      </c>
      <c r="J27" s="24">
        <f>H27*AO27</f>
        <v>0</v>
      </c>
      <c r="K27" s="24">
        <f>H27*AP27</f>
        <v>0</v>
      </c>
      <c r="L27" s="24">
        <f>H27*I27</f>
        <v>0</v>
      </c>
      <c r="M27" s="47" t="s">
        <v>399</v>
      </c>
      <c r="Z27" s="24">
        <f>IF(AQ27="5",BJ27,0)</f>
        <v>0</v>
      </c>
      <c r="AB27" s="24">
        <f>IF(AQ27="1",BH27,0)</f>
        <v>0</v>
      </c>
      <c r="AC27" s="24">
        <f>IF(AQ27="1",BI27,0)</f>
        <v>0</v>
      </c>
      <c r="AD27" s="24">
        <f>IF(AQ27="7",BH27,0)</f>
        <v>0</v>
      </c>
      <c r="AE27" s="24">
        <f>IF(AQ27="7",BI27,0)</f>
        <v>0</v>
      </c>
      <c r="AF27" s="24">
        <f>IF(AQ27="2",BH27,0)</f>
        <v>0</v>
      </c>
      <c r="AG27" s="24">
        <f>IF(AQ27="2",BI27,0)</f>
        <v>0</v>
      </c>
      <c r="AH27" s="24">
        <f>IF(AQ27="0",BJ27,0)</f>
        <v>0</v>
      </c>
      <c r="AI27" s="9" t="s">
        <v>405</v>
      </c>
      <c r="AJ27" s="24">
        <f>IF(AN27=0,L27,0)</f>
        <v>0</v>
      </c>
      <c r="AK27" s="24">
        <f>IF(AN27=15,L27,0)</f>
        <v>0</v>
      </c>
      <c r="AL27" s="24">
        <f>IF(AN27=21,L27,0)</f>
        <v>0</v>
      </c>
      <c r="AN27" s="24">
        <v>21</v>
      </c>
      <c r="AO27" s="24">
        <f>I27*0</f>
        <v>0</v>
      </c>
      <c r="AP27" s="24">
        <f>I27*(1-0)</f>
        <v>0</v>
      </c>
      <c r="AQ27" s="30" t="s">
        <v>563</v>
      </c>
      <c r="AV27" s="24">
        <f>AW27+AX27</f>
        <v>0</v>
      </c>
      <c r="AW27" s="24">
        <f>H27*AO27</f>
        <v>0</v>
      </c>
      <c r="AX27" s="24">
        <f>H27*AP27</f>
        <v>0</v>
      </c>
      <c r="AY27" s="30" t="s">
        <v>517</v>
      </c>
      <c r="AZ27" s="30" t="s">
        <v>64</v>
      </c>
      <c r="BA27" s="9" t="s">
        <v>441</v>
      </c>
      <c r="BC27" s="24">
        <f>AW27+AX27</f>
        <v>0</v>
      </c>
      <c r="BD27" s="24">
        <f>I27/(100-BE27)*100</f>
        <v>0</v>
      </c>
      <c r="BE27" s="24">
        <v>0</v>
      </c>
      <c r="BF27" s="24">
        <f>27</f>
        <v>27</v>
      </c>
      <c r="BH27" s="24">
        <f>H27*AO27</f>
        <v>0</v>
      </c>
      <c r="BI27" s="24">
        <f>H27*AP27</f>
        <v>0</v>
      </c>
      <c r="BJ27" s="24">
        <f>H27*I27</f>
        <v>0</v>
      </c>
      <c r="BK27" s="24"/>
      <c r="BL27" s="24">
        <v>13</v>
      </c>
    </row>
    <row r="28" spans="1:64" ht="15" customHeight="1">
      <c r="A28" s="10"/>
      <c r="C28" s="34" t="s">
        <v>152</v>
      </c>
      <c r="F28" s="34" t="s">
        <v>405</v>
      </c>
      <c r="H28" s="3">
        <v>15.251500000000002</v>
      </c>
      <c r="M28" s="12"/>
    </row>
    <row r="29" spans="1:64" ht="15" customHeight="1">
      <c r="A29" s="39" t="s">
        <v>454</v>
      </c>
      <c r="B29" s="8" t="s">
        <v>489</v>
      </c>
      <c r="C29" s="55" t="s">
        <v>634</v>
      </c>
      <c r="D29" s="55"/>
      <c r="E29" s="55"/>
      <c r="F29" s="55"/>
      <c r="G29" s="8" t="s">
        <v>547</v>
      </c>
      <c r="H29" s="24">
        <v>1.8860399999999999</v>
      </c>
      <c r="I29" s="24">
        <v>0</v>
      </c>
      <c r="J29" s="24">
        <f>H29*AO29</f>
        <v>0</v>
      </c>
      <c r="K29" s="24">
        <f>H29*AP29</f>
        <v>0</v>
      </c>
      <c r="L29" s="24">
        <f>H29*I29</f>
        <v>0</v>
      </c>
      <c r="M29" s="47" t="s">
        <v>399</v>
      </c>
      <c r="Z29" s="24">
        <f>IF(AQ29="5",BJ29,0)</f>
        <v>0</v>
      </c>
      <c r="AB29" s="24">
        <f>IF(AQ29="1",BH29,0)</f>
        <v>0</v>
      </c>
      <c r="AC29" s="24">
        <f>IF(AQ29="1",BI29,0)</f>
        <v>0</v>
      </c>
      <c r="AD29" s="24">
        <f>IF(AQ29="7",BH29,0)</f>
        <v>0</v>
      </c>
      <c r="AE29" s="24">
        <f>IF(AQ29="7",BI29,0)</f>
        <v>0</v>
      </c>
      <c r="AF29" s="24">
        <f>IF(AQ29="2",BH29,0)</f>
        <v>0</v>
      </c>
      <c r="AG29" s="24">
        <f>IF(AQ29="2",BI29,0)</f>
        <v>0</v>
      </c>
      <c r="AH29" s="24">
        <f>IF(AQ29="0",BJ29,0)</f>
        <v>0</v>
      </c>
      <c r="AI29" s="9" t="s">
        <v>405</v>
      </c>
      <c r="AJ29" s="24">
        <f>IF(AN29=0,L29,0)</f>
        <v>0</v>
      </c>
      <c r="AK29" s="24">
        <f>IF(AN29=15,L29,0)</f>
        <v>0</v>
      </c>
      <c r="AL29" s="24">
        <f>IF(AN29=21,L29,0)</f>
        <v>0</v>
      </c>
      <c r="AN29" s="24">
        <v>21</v>
      </c>
      <c r="AO29" s="24">
        <f>I29*0</f>
        <v>0</v>
      </c>
      <c r="AP29" s="24">
        <f>I29*(1-0)</f>
        <v>0</v>
      </c>
      <c r="AQ29" s="30" t="s">
        <v>563</v>
      </c>
      <c r="AV29" s="24">
        <f>AW29+AX29</f>
        <v>0</v>
      </c>
      <c r="AW29" s="24">
        <f>H29*AO29</f>
        <v>0</v>
      </c>
      <c r="AX29" s="24">
        <f>H29*AP29</f>
        <v>0</v>
      </c>
      <c r="AY29" s="30" t="s">
        <v>517</v>
      </c>
      <c r="AZ29" s="30" t="s">
        <v>64</v>
      </c>
      <c r="BA29" s="9" t="s">
        <v>441</v>
      </c>
      <c r="BC29" s="24">
        <f>AW29+AX29</f>
        <v>0</v>
      </c>
      <c r="BD29" s="24">
        <f>I29/(100-BE29)*100</f>
        <v>0</v>
      </c>
      <c r="BE29" s="24">
        <v>0</v>
      </c>
      <c r="BF29" s="24">
        <f>29</f>
        <v>29</v>
      </c>
      <c r="BH29" s="24">
        <f>H29*AO29</f>
        <v>0</v>
      </c>
      <c r="BI29" s="24">
        <f>H29*AP29</f>
        <v>0</v>
      </c>
      <c r="BJ29" s="24">
        <f>H29*I29</f>
        <v>0</v>
      </c>
      <c r="BK29" s="24"/>
      <c r="BL29" s="24">
        <v>13</v>
      </c>
    </row>
    <row r="30" spans="1:64" ht="15" customHeight="1">
      <c r="A30" s="10"/>
      <c r="C30" s="34" t="s">
        <v>223</v>
      </c>
      <c r="F30" s="34" t="s">
        <v>405</v>
      </c>
      <c r="H30" s="3">
        <v>1.8860400000000002</v>
      </c>
      <c r="M30" s="12"/>
    </row>
    <row r="31" spans="1:64" ht="15" customHeight="1">
      <c r="A31" s="39" t="s">
        <v>218</v>
      </c>
      <c r="B31" s="8" t="s">
        <v>165</v>
      </c>
      <c r="C31" s="55" t="s">
        <v>429</v>
      </c>
      <c r="D31" s="55"/>
      <c r="E31" s="55"/>
      <c r="F31" s="55"/>
      <c r="G31" s="8" t="s">
        <v>547</v>
      </c>
      <c r="H31" s="24">
        <v>201.173</v>
      </c>
      <c r="I31" s="24">
        <v>0</v>
      </c>
      <c r="J31" s="24">
        <f>H31*AO31</f>
        <v>0</v>
      </c>
      <c r="K31" s="24">
        <f>H31*AP31</f>
        <v>0</v>
      </c>
      <c r="L31" s="24">
        <f>H31*I31</f>
        <v>0</v>
      </c>
      <c r="M31" s="47" t="s">
        <v>399</v>
      </c>
      <c r="Z31" s="24">
        <f>IF(AQ31="5",BJ31,0)</f>
        <v>0</v>
      </c>
      <c r="AB31" s="24">
        <f>IF(AQ31="1",BH31,0)</f>
        <v>0</v>
      </c>
      <c r="AC31" s="24">
        <f>IF(AQ31="1",BI31,0)</f>
        <v>0</v>
      </c>
      <c r="AD31" s="24">
        <f>IF(AQ31="7",BH31,0)</f>
        <v>0</v>
      </c>
      <c r="AE31" s="24">
        <f>IF(AQ31="7",BI31,0)</f>
        <v>0</v>
      </c>
      <c r="AF31" s="24">
        <f>IF(AQ31="2",BH31,0)</f>
        <v>0</v>
      </c>
      <c r="AG31" s="24">
        <f>IF(AQ31="2",BI31,0)</f>
        <v>0</v>
      </c>
      <c r="AH31" s="24">
        <f>IF(AQ31="0",BJ31,0)</f>
        <v>0</v>
      </c>
      <c r="AI31" s="9" t="s">
        <v>405</v>
      </c>
      <c r="AJ31" s="24">
        <f>IF(AN31=0,L31,0)</f>
        <v>0</v>
      </c>
      <c r="AK31" s="24">
        <f>IF(AN31=15,L31,0)</f>
        <v>0</v>
      </c>
      <c r="AL31" s="24">
        <f>IF(AN31=21,L31,0)</f>
        <v>0</v>
      </c>
      <c r="AN31" s="24">
        <v>21</v>
      </c>
      <c r="AO31" s="24">
        <f>I31*0.0438492057725724</f>
        <v>0</v>
      </c>
      <c r="AP31" s="24">
        <f>I31*(1-0.0438492057725724)</f>
        <v>0</v>
      </c>
      <c r="AQ31" s="30" t="s">
        <v>563</v>
      </c>
      <c r="AV31" s="24">
        <f>AW31+AX31</f>
        <v>0</v>
      </c>
      <c r="AW31" s="24">
        <f>H31*AO31</f>
        <v>0</v>
      </c>
      <c r="AX31" s="24">
        <f>H31*AP31</f>
        <v>0</v>
      </c>
      <c r="AY31" s="30" t="s">
        <v>517</v>
      </c>
      <c r="AZ31" s="30" t="s">
        <v>64</v>
      </c>
      <c r="BA31" s="9" t="s">
        <v>441</v>
      </c>
      <c r="BC31" s="24">
        <f>AW31+AX31</f>
        <v>0</v>
      </c>
      <c r="BD31" s="24">
        <f>I31/(100-BE31)*100</f>
        <v>0</v>
      </c>
      <c r="BE31" s="24">
        <v>0</v>
      </c>
      <c r="BF31" s="24">
        <f>31</f>
        <v>31</v>
      </c>
      <c r="BH31" s="24">
        <f>H31*AO31</f>
        <v>0</v>
      </c>
      <c r="BI31" s="24">
        <f>H31*AP31</f>
        <v>0</v>
      </c>
      <c r="BJ31" s="24">
        <f>H31*I31</f>
        <v>0</v>
      </c>
      <c r="BK31" s="24"/>
      <c r="BL31" s="24">
        <v>13</v>
      </c>
    </row>
    <row r="32" spans="1:64" ht="15" customHeight="1">
      <c r="A32" s="10"/>
      <c r="C32" s="34" t="s">
        <v>155</v>
      </c>
      <c r="F32" s="34" t="s">
        <v>405</v>
      </c>
      <c r="H32" s="3">
        <v>201.17300000000003</v>
      </c>
      <c r="M32" s="12"/>
    </row>
    <row r="33" spans="1:64" ht="15" customHeight="1">
      <c r="A33" s="39" t="s">
        <v>332</v>
      </c>
      <c r="B33" s="8" t="s">
        <v>215</v>
      </c>
      <c r="C33" s="55" t="s">
        <v>254</v>
      </c>
      <c r="D33" s="55"/>
      <c r="E33" s="55"/>
      <c r="F33" s="55"/>
      <c r="G33" s="8" t="s">
        <v>547</v>
      </c>
      <c r="H33" s="24">
        <v>40.2346</v>
      </c>
      <c r="I33" s="24">
        <v>0</v>
      </c>
      <c r="J33" s="24">
        <f>H33*AO33</f>
        <v>0</v>
      </c>
      <c r="K33" s="24">
        <f>H33*AP33</f>
        <v>0</v>
      </c>
      <c r="L33" s="24">
        <f>H33*I33</f>
        <v>0</v>
      </c>
      <c r="M33" s="47" t="s">
        <v>399</v>
      </c>
      <c r="Z33" s="24">
        <f>IF(AQ33="5",BJ33,0)</f>
        <v>0</v>
      </c>
      <c r="AB33" s="24">
        <f>IF(AQ33="1",BH33,0)</f>
        <v>0</v>
      </c>
      <c r="AC33" s="24">
        <f>IF(AQ33="1",BI33,0)</f>
        <v>0</v>
      </c>
      <c r="AD33" s="24">
        <f>IF(AQ33="7",BH33,0)</f>
        <v>0</v>
      </c>
      <c r="AE33" s="24">
        <f>IF(AQ33="7",BI33,0)</f>
        <v>0</v>
      </c>
      <c r="AF33" s="24">
        <f>IF(AQ33="2",BH33,0)</f>
        <v>0</v>
      </c>
      <c r="AG33" s="24">
        <f>IF(AQ33="2",BI33,0)</f>
        <v>0</v>
      </c>
      <c r="AH33" s="24">
        <f>IF(AQ33="0",BJ33,0)</f>
        <v>0</v>
      </c>
      <c r="AI33" s="9" t="s">
        <v>405</v>
      </c>
      <c r="AJ33" s="24">
        <f>IF(AN33=0,L33,0)</f>
        <v>0</v>
      </c>
      <c r="AK33" s="24">
        <f>IF(AN33=15,L33,0)</f>
        <v>0</v>
      </c>
      <c r="AL33" s="24">
        <f>IF(AN33=21,L33,0)</f>
        <v>0</v>
      </c>
      <c r="AN33" s="24">
        <v>21</v>
      </c>
      <c r="AO33" s="24">
        <f>I33*0</f>
        <v>0</v>
      </c>
      <c r="AP33" s="24">
        <f>I33*(1-0)</f>
        <v>0</v>
      </c>
      <c r="AQ33" s="30" t="s">
        <v>563</v>
      </c>
      <c r="AV33" s="24">
        <f>AW33+AX33</f>
        <v>0</v>
      </c>
      <c r="AW33" s="24">
        <f>H33*AO33</f>
        <v>0</v>
      </c>
      <c r="AX33" s="24">
        <f>H33*AP33</f>
        <v>0</v>
      </c>
      <c r="AY33" s="30" t="s">
        <v>517</v>
      </c>
      <c r="AZ33" s="30" t="s">
        <v>64</v>
      </c>
      <c r="BA33" s="9" t="s">
        <v>441</v>
      </c>
      <c r="BC33" s="24">
        <f>AW33+AX33</f>
        <v>0</v>
      </c>
      <c r="BD33" s="24">
        <f>I33/(100-BE33)*100</f>
        <v>0</v>
      </c>
      <c r="BE33" s="24">
        <v>0</v>
      </c>
      <c r="BF33" s="24">
        <f>33</f>
        <v>33</v>
      </c>
      <c r="BH33" s="24">
        <f>H33*AO33</f>
        <v>0</v>
      </c>
      <c r="BI33" s="24">
        <f>H33*AP33</f>
        <v>0</v>
      </c>
      <c r="BJ33" s="24">
        <f>H33*I33</f>
        <v>0</v>
      </c>
      <c r="BK33" s="24"/>
      <c r="BL33" s="24">
        <v>13</v>
      </c>
    </row>
    <row r="34" spans="1:64" ht="15" customHeight="1">
      <c r="A34" s="10"/>
      <c r="C34" s="34" t="s">
        <v>275</v>
      </c>
      <c r="F34" s="34" t="s">
        <v>405</v>
      </c>
      <c r="H34" s="3">
        <v>40.2346</v>
      </c>
      <c r="M34" s="12"/>
    </row>
    <row r="35" spans="1:64" ht="15" customHeight="1">
      <c r="A35" s="39" t="s">
        <v>482</v>
      </c>
      <c r="B35" s="8" t="s">
        <v>183</v>
      </c>
      <c r="C35" s="55" t="s">
        <v>410</v>
      </c>
      <c r="D35" s="55"/>
      <c r="E35" s="55"/>
      <c r="F35" s="55"/>
      <c r="G35" s="8" t="s">
        <v>477</v>
      </c>
      <c r="H35" s="24">
        <v>137.9</v>
      </c>
      <c r="I35" s="24">
        <v>0</v>
      </c>
      <c r="J35" s="24">
        <f>H35*AO35</f>
        <v>0</v>
      </c>
      <c r="K35" s="24">
        <f>H35*AP35</f>
        <v>0</v>
      </c>
      <c r="L35" s="24">
        <f>H35*I35</f>
        <v>0</v>
      </c>
      <c r="M35" s="47" t="s">
        <v>399</v>
      </c>
      <c r="Z35" s="24">
        <f>IF(AQ35="5",BJ35,0)</f>
        <v>0</v>
      </c>
      <c r="AB35" s="24">
        <f>IF(AQ35="1",BH35,0)</f>
        <v>0</v>
      </c>
      <c r="AC35" s="24">
        <f>IF(AQ35="1",BI35,0)</f>
        <v>0</v>
      </c>
      <c r="AD35" s="24">
        <f>IF(AQ35="7",BH35,0)</f>
        <v>0</v>
      </c>
      <c r="AE35" s="24">
        <f>IF(AQ35="7",BI35,0)</f>
        <v>0</v>
      </c>
      <c r="AF35" s="24">
        <f>IF(AQ35="2",BH35,0)</f>
        <v>0</v>
      </c>
      <c r="AG35" s="24">
        <f>IF(AQ35="2",BI35,0)</f>
        <v>0</v>
      </c>
      <c r="AH35" s="24">
        <f>IF(AQ35="0",BJ35,0)</f>
        <v>0</v>
      </c>
      <c r="AI35" s="9" t="s">
        <v>405</v>
      </c>
      <c r="AJ35" s="24">
        <f>IF(AN35=0,L35,0)</f>
        <v>0</v>
      </c>
      <c r="AK35" s="24">
        <f>IF(AN35=15,L35,0)</f>
        <v>0</v>
      </c>
      <c r="AL35" s="24">
        <f>IF(AN35=21,L35,0)</f>
        <v>0</v>
      </c>
      <c r="AN35" s="24">
        <v>21</v>
      </c>
      <c r="AO35" s="24">
        <f>I35*0</f>
        <v>0</v>
      </c>
      <c r="AP35" s="24">
        <f>I35*(1-0)</f>
        <v>0</v>
      </c>
      <c r="AQ35" s="30" t="s">
        <v>563</v>
      </c>
      <c r="AV35" s="24">
        <f>AW35+AX35</f>
        <v>0</v>
      </c>
      <c r="AW35" s="24">
        <f>H35*AO35</f>
        <v>0</v>
      </c>
      <c r="AX35" s="24">
        <f>H35*AP35</f>
        <v>0</v>
      </c>
      <c r="AY35" s="30" t="s">
        <v>517</v>
      </c>
      <c r="AZ35" s="30" t="s">
        <v>64</v>
      </c>
      <c r="BA35" s="9" t="s">
        <v>441</v>
      </c>
      <c r="BC35" s="24">
        <f>AW35+AX35</f>
        <v>0</v>
      </c>
      <c r="BD35" s="24">
        <f>I35/(100-BE35)*100</f>
        <v>0</v>
      </c>
      <c r="BE35" s="24">
        <v>0</v>
      </c>
      <c r="BF35" s="24">
        <f>35</f>
        <v>35</v>
      </c>
      <c r="BH35" s="24">
        <f>H35*AO35</f>
        <v>0</v>
      </c>
      <c r="BI35" s="24">
        <f>H35*AP35</f>
        <v>0</v>
      </c>
      <c r="BJ35" s="24">
        <f>H35*I35</f>
        <v>0</v>
      </c>
      <c r="BK35" s="24"/>
      <c r="BL35" s="24">
        <v>13</v>
      </c>
    </row>
    <row r="36" spans="1:64" ht="15" customHeight="1">
      <c r="A36" s="10"/>
      <c r="C36" s="34" t="s">
        <v>333</v>
      </c>
      <c r="F36" s="34" t="s">
        <v>405</v>
      </c>
      <c r="H36" s="3">
        <v>137.9</v>
      </c>
      <c r="M36" s="12"/>
    </row>
    <row r="37" spans="1:64" ht="15" customHeight="1">
      <c r="A37" s="19" t="s">
        <v>405</v>
      </c>
      <c r="B37" s="26" t="s">
        <v>226</v>
      </c>
      <c r="C37" s="70" t="s">
        <v>494</v>
      </c>
      <c r="D37" s="70"/>
      <c r="E37" s="70"/>
      <c r="F37" s="70"/>
      <c r="G37" s="11" t="s">
        <v>529</v>
      </c>
      <c r="H37" s="11" t="s">
        <v>529</v>
      </c>
      <c r="I37" s="11" t="s">
        <v>529</v>
      </c>
      <c r="J37" s="31">
        <f>SUM(J38:J50)</f>
        <v>0</v>
      </c>
      <c r="K37" s="31">
        <f>SUM(K38:K50)</f>
        <v>0</v>
      </c>
      <c r="L37" s="31">
        <f>SUM(L38:L50)</f>
        <v>0</v>
      </c>
      <c r="M37" s="35" t="s">
        <v>405</v>
      </c>
      <c r="AI37" s="9" t="s">
        <v>405</v>
      </c>
      <c r="AS37" s="31">
        <f>SUM(AJ38:AJ50)</f>
        <v>0</v>
      </c>
      <c r="AT37" s="31">
        <f>SUM(AK38:AK50)</f>
        <v>0</v>
      </c>
      <c r="AU37" s="31">
        <f>SUM(AL38:AL50)</f>
        <v>0</v>
      </c>
    </row>
    <row r="38" spans="1:64" ht="15" customHeight="1">
      <c r="A38" s="39" t="s">
        <v>427</v>
      </c>
      <c r="B38" s="8" t="s">
        <v>531</v>
      </c>
      <c r="C38" s="55" t="s">
        <v>466</v>
      </c>
      <c r="D38" s="55"/>
      <c r="E38" s="55"/>
      <c r="F38" s="55"/>
      <c r="G38" s="8" t="s">
        <v>143</v>
      </c>
      <c r="H38" s="24">
        <v>2</v>
      </c>
      <c r="I38" s="24">
        <v>0</v>
      </c>
      <c r="J38" s="24">
        <f>H38*AO38</f>
        <v>0</v>
      </c>
      <c r="K38" s="24">
        <f>H38*AP38</f>
        <v>0</v>
      </c>
      <c r="L38" s="24">
        <f>H38*I38</f>
        <v>0</v>
      </c>
      <c r="M38" s="47" t="s">
        <v>399</v>
      </c>
      <c r="Z38" s="24">
        <f>IF(AQ38="5",BJ38,0)</f>
        <v>0</v>
      </c>
      <c r="AB38" s="24">
        <f>IF(AQ38="1",BH38,0)</f>
        <v>0</v>
      </c>
      <c r="AC38" s="24">
        <f>IF(AQ38="1",BI38,0)</f>
        <v>0</v>
      </c>
      <c r="AD38" s="24">
        <f>IF(AQ38="7",BH38,0)</f>
        <v>0</v>
      </c>
      <c r="AE38" s="24">
        <f>IF(AQ38="7",BI38,0)</f>
        <v>0</v>
      </c>
      <c r="AF38" s="24">
        <f>IF(AQ38="2",BH38,0)</f>
        <v>0</v>
      </c>
      <c r="AG38" s="24">
        <f>IF(AQ38="2",BI38,0)</f>
        <v>0</v>
      </c>
      <c r="AH38" s="24">
        <f>IF(AQ38="0",BJ38,0)</f>
        <v>0</v>
      </c>
      <c r="AI38" s="9" t="s">
        <v>405</v>
      </c>
      <c r="AJ38" s="24">
        <f>IF(AN38=0,L38,0)</f>
        <v>0</v>
      </c>
      <c r="AK38" s="24">
        <f>IF(AN38=15,L38,0)</f>
        <v>0</v>
      </c>
      <c r="AL38" s="24">
        <f>IF(AN38=21,L38,0)</f>
        <v>0</v>
      </c>
      <c r="AN38" s="24">
        <v>21</v>
      </c>
      <c r="AO38" s="24">
        <f>I38*0</f>
        <v>0</v>
      </c>
      <c r="AP38" s="24">
        <f>I38*(1-0)</f>
        <v>0</v>
      </c>
      <c r="AQ38" s="30" t="s">
        <v>563</v>
      </c>
      <c r="AV38" s="24">
        <f>AW38+AX38</f>
        <v>0</v>
      </c>
      <c r="AW38" s="24">
        <f>H38*AO38</f>
        <v>0</v>
      </c>
      <c r="AX38" s="24">
        <f>H38*AP38</f>
        <v>0</v>
      </c>
      <c r="AY38" s="30" t="s">
        <v>413</v>
      </c>
      <c r="AZ38" s="30" t="s">
        <v>64</v>
      </c>
      <c r="BA38" s="9" t="s">
        <v>441</v>
      </c>
      <c r="BC38" s="24">
        <f>AW38+AX38</f>
        <v>0</v>
      </c>
      <c r="BD38" s="24">
        <f>I38/(100-BE38)*100</f>
        <v>0</v>
      </c>
      <c r="BE38" s="24">
        <v>0</v>
      </c>
      <c r="BF38" s="24">
        <f>38</f>
        <v>38</v>
      </c>
      <c r="BH38" s="24">
        <f>H38*AO38</f>
        <v>0</v>
      </c>
      <c r="BI38" s="24">
        <f>H38*AP38</f>
        <v>0</v>
      </c>
      <c r="BJ38" s="24">
        <f>H38*I38</f>
        <v>0</v>
      </c>
      <c r="BK38" s="24"/>
      <c r="BL38" s="24">
        <v>15</v>
      </c>
    </row>
    <row r="39" spans="1:64" ht="15" customHeight="1">
      <c r="A39" s="10"/>
      <c r="C39" s="34" t="s">
        <v>402</v>
      </c>
      <c r="F39" s="34" t="s">
        <v>405</v>
      </c>
      <c r="H39" s="3">
        <v>2</v>
      </c>
      <c r="M39" s="12"/>
    </row>
    <row r="40" spans="1:64" ht="15" customHeight="1">
      <c r="A40" s="39" t="s">
        <v>167</v>
      </c>
      <c r="B40" s="8" t="s">
        <v>544</v>
      </c>
      <c r="C40" s="55" t="s">
        <v>5</v>
      </c>
      <c r="D40" s="55"/>
      <c r="E40" s="55"/>
      <c r="F40" s="55"/>
      <c r="G40" s="8" t="s">
        <v>143</v>
      </c>
      <c r="H40" s="24">
        <v>2</v>
      </c>
      <c r="I40" s="24">
        <v>0</v>
      </c>
      <c r="J40" s="24">
        <f>H40*AO40</f>
        <v>0</v>
      </c>
      <c r="K40" s="24">
        <f>H40*AP40</f>
        <v>0</v>
      </c>
      <c r="L40" s="24">
        <f>H40*I40</f>
        <v>0</v>
      </c>
      <c r="M40" s="47" t="s">
        <v>399</v>
      </c>
      <c r="Z40" s="24">
        <f>IF(AQ40="5",BJ40,0)</f>
        <v>0</v>
      </c>
      <c r="AB40" s="24">
        <f>IF(AQ40="1",BH40,0)</f>
        <v>0</v>
      </c>
      <c r="AC40" s="24">
        <f>IF(AQ40="1",BI40,0)</f>
        <v>0</v>
      </c>
      <c r="AD40" s="24">
        <f>IF(AQ40="7",BH40,0)</f>
        <v>0</v>
      </c>
      <c r="AE40" s="24">
        <f>IF(AQ40="7",BI40,0)</f>
        <v>0</v>
      </c>
      <c r="AF40" s="24">
        <f>IF(AQ40="2",BH40,0)</f>
        <v>0</v>
      </c>
      <c r="AG40" s="24">
        <f>IF(AQ40="2",BI40,0)</f>
        <v>0</v>
      </c>
      <c r="AH40" s="24">
        <f>IF(AQ40="0",BJ40,0)</f>
        <v>0</v>
      </c>
      <c r="AI40" s="9" t="s">
        <v>405</v>
      </c>
      <c r="AJ40" s="24">
        <f>IF(AN40=0,L40,0)</f>
        <v>0</v>
      </c>
      <c r="AK40" s="24">
        <f>IF(AN40=15,L40,0)</f>
        <v>0</v>
      </c>
      <c r="AL40" s="24">
        <f>IF(AN40=21,L40,0)</f>
        <v>0</v>
      </c>
      <c r="AN40" s="24">
        <v>21</v>
      </c>
      <c r="AO40" s="24">
        <f>I40*0</f>
        <v>0</v>
      </c>
      <c r="AP40" s="24">
        <f>I40*(1-0)</f>
        <v>0</v>
      </c>
      <c r="AQ40" s="30" t="s">
        <v>563</v>
      </c>
      <c r="AV40" s="24">
        <f>AW40+AX40</f>
        <v>0</v>
      </c>
      <c r="AW40" s="24">
        <f>H40*AO40</f>
        <v>0</v>
      </c>
      <c r="AX40" s="24">
        <f>H40*AP40</f>
        <v>0</v>
      </c>
      <c r="AY40" s="30" t="s">
        <v>413</v>
      </c>
      <c r="AZ40" s="30" t="s">
        <v>64</v>
      </c>
      <c r="BA40" s="9" t="s">
        <v>441</v>
      </c>
      <c r="BC40" s="24">
        <f>AW40+AX40</f>
        <v>0</v>
      </c>
      <c r="BD40" s="24">
        <f>I40/(100-BE40)*100</f>
        <v>0</v>
      </c>
      <c r="BE40" s="24">
        <v>0</v>
      </c>
      <c r="BF40" s="24">
        <f>40</f>
        <v>40</v>
      </c>
      <c r="BH40" s="24">
        <f>H40*AO40</f>
        <v>0</v>
      </c>
      <c r="BI40" s="24">
        <f>H40*AP40</f>
        <v>0</v>
      </c>
      <c r="BJ40" s="24">
        <f>H40*I40</f>
        <v>0</v>
      </c>
      <c r="BK40" s="24"/>
      <c r="BL40" s="24">
        <v>15</v>
      </c>
    </row>
    <row r="41" spans="1:64" ht="15" customHeight="1">
      <c r="A41" s="10"/>
      <c r="C41" s="34" t="s">
        <v>402</v>
      </c>
      <c r="F41" s="34" t="s">
        <v>405</v>
      </c>
      <c r="H41" s="3">
        <v>2</v>
      </c>
      <c r="M41" s="12"/>
    </row>
    <row r="42" spans="1:64" ht="15" customHeight="1">
      <c r="A42" s="39" t="s">
        <v>339</v>
      </c>
      <c r="B42" s="8" t="s">
        <v>630</v>
      </c>
      <c r="C42" s="55" t="s">
        <v>313</v>
      </c>
      <c r="D42" s="55"/>
      <c r="E42" s="55"/>
      <c r="F42" s="55"/>
      <c r="G42" s="8" t="s">
        <v>32</v>
      </c>
      <c r="H42" s="24">
        <v>30</v>
      </c>
      <c r="I42" s="24">
        <v>0</v>
      </c>
      <c r="J42" s="24">
        <f>H42*AO42</f>
        <v>0</v>
      </c>
      <c r="K42" s="24">
        <f>H42*AP42</f>
        <v>0</v>
      </c>
      <c r="L42" s="24">
        <f>H42*I42</f>
        <v>0</v>
      </c>
      <c r="M42" s="47" t="s">
        <v>399</v>
      </c>
      <c r="Z42" s="24">
        <f>IF(AQ42="5",BJ42,0)</f>
        <v>0</v>
      </c>
      <c r="AB42" s="24">
        <f>IF(AQ42="1",BH42,0)</f>
        <v>0</v>
      </c>
      <c r="AC42" s="24">
        <f>IF(AQ42="1",BI42,0)</f>
        <v>0</v>
      </c>
      <c r="AD42" s="24">
        <f>IF(AQ42="7",BH42,0)</f>
        <v>0</v>
      </c>
      <c r="AE42" s="24">
        <f>IF(AQ42="7",BI42,0)</f>
        <v>0</v>
      </c>
      <c r="AF42" s="24">
        <f>IF(AQ42="2",BH42,0)</f>
        <v>0</v>
      </c>
      <c r="AG42" s="24">
        <f>IF(AQ42="2",BI42,0)</f>
        <v>0</v>
      </c>
      <c r="AH42" s="24">
        <f>IF(AQ42="0",BJ42,0)</f>
        <v>0</v>
      </c>
      <c r="AI42" s="9" t="s">
        <v>405</v>
      </c>
      <c r="AJ42" s="24">
        <f>IF(AN42=0,L42,0)</f>
        <v>0</v>
      </c>
      <c r="AK42" s="24">
        <f>IF(AN42=15,L42,0)</f>
        <v>0</v>
      </c>
      <c r="AL42" s="24">
        <f>IF(AN42=21,L42,0)</f>
        <v>0</v>
      </c>
      <c r="AN42" s="24">
        <v>21</v>
      </c>
      <c r="AO42" s="24">
        <f>I42*0</f>
        <v>0</v>
      </c>
      <c r="AP42" s="24">
        <f>I42*(1-0)</f>
        <v>0</v>
      </c>
      <c r="AQ42" s="30" t="s">
        <v>563</v>
      </c>
      <c r="AV42" s="24">
        <f>AW42+AX42</f>
        <v>0</v>
      </c>
      <c r="AW42" s="24">
        <f>H42*AO42</f>
        <v>0</v>
      </c>
      <c r="AX42" s="24">
        <f>H42*AP42</f>
        <v>0</v>
      </c>
      <c r="AY42" s="30" t="s">
        <v>413</v>
      </c>
      <c r="AZ42" s="30" t="s">
        <v>64</v>
      </c>
      <c r="BA42" s="9" t="s">
        <v>441</v>
      </c>
      <c r="BC42" s="24">
        <f>AW42+AX42</f>
        <v>0</v>
      </c>
      <c r="BD42" s="24">
        <f>I42/(100-BE42)*100</f>
        <v>0</v>
      </c>
      <c r="BE42" s="24">
        <v>0</v>
      </c>
      <c r="BF42" s="24">
        <f>42</f>
        <v>42</v>
      </c>
      <c r="BH42" s="24">
        <f>H42*AO42</f>
        <v>0</v>
      </c>
      <c r="BI42" s="24">
        <f>H42*AP42</f>
        <v>0</v>
      </c>
      <c r="BJ42" s="24">
        <f>H42*I42</f>
        <v>0</v>
      </c>
      <c r="BK42" s="24"/>
      <c r="BL42" s="24">
        <v>15</v>
      </c>
    </row>
    <row r="43" spans="1:64" ht="15" customHeight="1">
      <c r="A43" s="10"/>
      <c r="C43" s="34" t="s">
        <v>372</v>
      </c>
      <c r="F43" s="34" t="s">
        <v>405</v>
      </c>
      <c r="H43" s="3">
        <v>30.000000000000004</v>
      </c>
      <c r="M43" s="12"/>
    </row>
    <row r="44" spans="1:64" ht="15" customHeight="1">
      <c r="A44" s="39" t="s">
        <v>226</v>
      </c>
      <c r="B44" s="8" t="s">
        <v>625</v>
      </c>
      <c r="C44" s="55" t="s">
        <v>135</v>
      </c>
      <c r="D44" s="55"/>
      <c r="E44" s="55"/>
      <c r="F44" s="55"/>
      <c r="G44" s="8" t="s">
        <v>556</v>
      </c>
      <c r="H44" s="24">
        <v>396.54599999999999</v>
      </c>
      <c r="I44" s="24">
        <v>0</v>
      </c>
      <c r="J44" s="24">
        <f>H44*AO44</f>
        <v>0</v>
      </c>
      <c r="K44" s="24">
        <f>H44*AP44</f>
        <v>0</v>
      </c>
      <c r="L44" s="24">
        <f>H44*I44</f>
        <v>0</v>
      </c>
      <c r="M44" s="47" t="s">
        <v>399</v>
      </c>
      <c r="Z44" s="24">
        <f>IF(AQ44="5",BJ44,0)</f>
        <v>0</v>
      </c>
      <c r="AB44" s="24">
        <f>IF(AQ44="1",BH44,0)</f>
        <v>0</v>
      </c>
      <c r="AC44" s="24">
        <f>IF(AQ44="1",BI44,0)</f>
        <v>0</v>
      </c>
      <c r="AD44" s="24">
        <f>IF(AQ44="7",BH44,0)</f>
        <v>0</v>
      </c>
      <c r="AE44" s="24">
        <f>IF(AQ44="7",BI44,0)</f>
        <v>0</v>
      </c>
      <c r="AF44" s="24">
        <f>IF(AQ44="2",BH44,0)</f>
        <v>0</v>
      </c>
      <c r="AG44" s="24">
        <f>IF(AQ44="2",BI44,0)</f>
        <v>0</v>
      </c>
      <c r="AH44" s="24">
        <f>IF(AQ44="0",BJ44,0)</f>
        <v>0</v>
      </c>
      <c r="AI44" s="9" t="s">
        <v>405</v>
      </c>
      <c r="AJ44" s="24">
        <f>IF(AN44=0,L44,0)</f>
        <v>0</v>
      </c>
      <c r="AK44" s="24">
        <f>IF(AN44=15,L44,0)</f>
        <v>0</v>
      </c>
      <c r="AL44" s="24">
        <f>IF(AN44=21,L44,0)</f>
        <v>0</v>
      </c>
      <c r="AN44" s="24">
        <v>21</v>
      </c>
      <c r="AO44" s="24">
        <f>I44*0.0932214828210377</f>
        <v>0</v>
      </c>
      <c r="AP44" s="24">
        <f>I44*(1-0.0932214828210377)</f>
        <v>0</v>
      </c>
      <c r="AQ44" s="30" t="s">
        <v>563</v>
      </c>
      <c r="AV44" s="24">
        <f>AW44+AX44</f>
        <v>0</v>
      </c>
      <c r="AW44" s="24">
        <f>H44*AO44</f>
        <v>0</v>
      </c>
      <c r="AX44" s="24">
        <f>H44*AP44</f>
        <v>0</v>
      </c>
      <c r="AY44" s="30" t="s">
        <v>413</v>
      </c>
      <c r="AZ44" s="30" t="s">
        <v>64</v>
      </c>
      <c r="BA44" s="9" t="s">
        <v>441</v>
      </c>
      <c r="BC44" s="24">
        <f>AW44+AX44</f>
        <v>0</v>
      </c>
      <c r="BD44" s="24">
        <f>I44/(100-BE44)*100</f>
        <v>0</v>
      </c>
      <c r="BE44" s="24">
        <v>0</v>
      </c>
      <c r="BF44" s="24">
        <f>44</f>
        <v>44</v>
      </c>
      <c r="BH44" s="24">
        <f>H44*AO44</f>
        <v>0</v>
      </c>
      <c r="BI44" s="24">
        <f>H44*AP44</f>
        <v>0</v>
      </c>
      <c r="BJ44" s="24">
        <f>H44*I44</f>
        <v>0</v>
      </c>
      <c r="BK44" s="24"/>
      <c r="BL44" s="24">
        <v>15</v>
      </c>
    </row>
    <row r="45" spans="1:64" ht="15" customHeight="1">
      <c r="A45" s="10"/>
      <c r="C45" s="34" t="s">
        <v>189</v>
      </c>
      <c r="F45" s="34" t="s">
        <v>405</v>
      </c>
      <c r="H45" s="3">
        <v>396.54600000000005</v>
      </c>
      <c r="M45" s="12"/>
    </row>
    <row r="46" spans="1:64" ht="15" customHeight="1">
      <c r="A46" s="39" t="s">
        <v>52</v>
      </c>
      <c r="B46" s="8" t="s">
        <v>395</v>
      </c>
      <c r="C46" s="55" t="s">
        <v>548</v>
      </c>
      <c r="D46" s="55"/>
      <c r="E46" s="55"/>
      <c r="F46" s="55"/>
      <c r="G46" s="8" t="s">
        <v>556</v>
      </c>
      <c r="H46" s="24">
        <v>396.54599999999999</v>
      </c>
      <c r="I46" s="24">
        <v>0</v>
      </c>
      <c r="J46" s="24">
        <f>H46*AO46</f>
        <v>0</v>
      </c>
      <c r="K46" s="24">
        <f>H46*AP46</f>
        <v>0</v>
      </c>
      <c r="L46" s="24">
        <f>H46*I46</f>
        <v>0</v>
      </c>
      <c r="M46" s="47" t="s">
        <v>399</v>
      </c>
      <c r="Z46" s="24">
        <f>IF(AQ46="5",BJ46,0)</f>
        <v>0</v>
      </c>
      <c r="AB46" s="24">
        <f>IF(AQ46="1",BH46,0)</f>
        <v>0</v>
      </c>
      <c r="AC46" s="24">
        <f>IF(AQ46="1",BI46,0)</f>
        <v>0</v>
      </c>
      <c r="AD46" s="24">
        <f>IF(AQ46="7",BH46,0)</f>
        <v>0</v>
      </c>
      <c r="AE46" s="24">
        <f>IF(AQ46="7",BI46,0)</f>
        <v>0</v>
      </c>
      <c r="AF46" s="24">
        <f>IF(AQ46="2",BH46,0)</f>
        <v>0</v>
      </c>
      <c r="AG46" s="24">
        <f>IF(AQ46="2",BI46,0)</f>
        <v>0</v>
      </c>
      <c r="AH46" s="24">
        <f>IF(AQ46="0",BJ46,0)</f>
        <v>0</v>
      </c>
      <c r="AI46" s="9" t="s">
        <v>405</v>
      </c>
      <c r="AJ46" s="24">
        <f>IF(AN46=0,L46,0)</f>
        <v>0</v>
      </c>
      <c r="AK46" s="24">
        <f>IF(AN46=15,L46,0)</f>
        <v>0</v>
      </c>
      <c r="AL46" s="24">
        <f>IF(AN46=21,L46,0)</f>
        <v>0</v>
      </c>
      <c r="AN46" s="24">
        <v>21</v>
      </c>
      <c r="AO46" s="24">
        <f>I46*0</f>
        <v>0</v>
      </c>
      <c r="AP46" s="24">
        <f>I46*(1-0)</f>
        <v>0</v>
      </c>
      <c r="AQ46" s="30" t="s">
        <v>563</v>
      </c>
      <c r="AV46" s="24">
        <f>AW46+AX46</f>
        <v>0</v>
      </c>
      <c r="AW46" s="24">
        <f>H46*AO46</f>
        <v>0</v>
      </c>
      <c r="AX46" s="24">
        <f>H46*AP46</f>
        <v>0</v>
      </c>
      <c r="AY46" s="30" t="s">
        <v>413</v>
      </c>
      <c r="AZ46" s="30" t="s">
        <v>64</v>
      </c>
      <c r="BA46" s="9" t="s">
        <v>441</v>
      </c>
      <c r="BC46" s="24">
        <f>AW46+AX46</f>
        <v>0</v>
      </c>
      <c r="BD46" s="24">
        <f>I46/(100-BE46)*100</f>
        <v>0</v>
      </c>
      <c r="BE46" s="24">
        <v>0</v>
      </c>
      <c r="BF46" s="24">
        <f>46</f>
        <v>46</v>
      </c>
      <c r="BH46" s="24">
        <f>H46*AO46</f>
        <v>0</v>
      </c>
      <c r="BI46" s="24">
        <f>H46*AP46</f>
        <v>0</v>
      </c>
      <c r="BJ46" s="24">
        <f>H46*I46</f>
        <v>0</v>
      </c>
      <c r="BK46" s="24"/>
      <c r="BL46" s="24">
        <v>15</v>
      </c>
    </row>
    <row r="47" spans="1:64" ht="15" customHeight="1">
      <c r="A47" s="10"/>
      <c r="C47" s="34" t="s">
        <v>511</v>
      </c>
      <c r="F47" s="34" t="s">
        <v>405</v>
      </c>
      <c r="H47" s="3">
        <v>396.54600000000005</v>
      </c>
      <c r="M47" s="12"/>
    </row>
    <row r="48" spans="1:64" ht="15" customHeight="1">
      <c r="A48" s="39" t="s">
        <v>406</v>
      </c>
      <c r="B48" s="8" t="s">
        <v>71</v>
      </c>
      <c r="C48" s="55" t="s">
        <v>171</v>
      </c>
      <c r="D48" s="55"/>
      <c r="E48" s="55"/>
      <c r="F48" s="55"/>
      <c r="G48" s="8" t="s">
        <v>556</v>
      </c>
      <c r="H48" s="24">
        <v>5.8</v>
      </c>
      <c r="I48" s="24">
        <v>0</v>
      </c>
      <c r="J48" s="24">
        <f>H48*AO48</f>
        <v>0</v>
      </c>
      <c r="K48" s="24">
        <f>H48*AP48</f>
        <v>0</v>
      </c>
      <c r="L48" s="24">
        <f>H48*I48</f>
        <v>0</v>
      </c>
      <c r="M48" s="47" t="s">
        <v>399</v>
      </c>
      <c r="Z48" s="24">
        <f>IF(AQ48="5",BJ48,0)</f>
        <v>0</v>
      </c>
      <c r="AB48" s="24">
        <f>IF(AQ48="1",BH48,0)</f>
        <v>0</v>
      </c>
      <c r="AC48" s="24">
        <f>IF(AQ48="1",BI48,0)</f>
        <v>0</v>
      </c>
      <c r="AD48" s="24">
        <f>IF(AQ48="7",BH48,0)</f>
        <v>0</v>
      </c>
      <c r="AE48" s="24">
        <f>IF(AQ48="7",BI48,0)</f>
        <v>0</v>
      </c>
      <c r="AF48" s="24">
        <f>IF(AQ48="2",BH48,0)</f>
        <v>0</v>
      </c>
      <c r="AG48" s="24">
        <f>IF(AQ48="2",BI48,0)</f>
        <v>0</v>
      </c>
      <c r="AH48" s="24">
        <f>IF(AQ48="0",BJ48,0)</f>
        <v>0</v>
      </c>
      <c r="AI48" s="9" t="s">
        <v>405</v>
      </c>
      <c r="AJ48" s="24">
        <f>IF(AN48=0,L48,0)</f>
        <v>0</v>
      </c>
      <c r="AK48" s="24">
        <f>IF(AN48=15,L48,0)</f>
        <v>0</v>
      </c>
      <c r="AL48" s="24">
        <f>IF(AN48=21,L48,0)</f>
        <v>0</v>
      </c>
      <c r="AN48" s="24">
        <v>21</v>
      </c>
      <c r="AO48" s="24">
        <f>I48*0.0997231833910035</f>
        <v>0</v>
      </c>
      <c r="AP48" s="24">
        <f>I48*(1-0.0997231833910035)</f>
        <v>0</v>
      </c>
      <c r="AQ48" s="30" t="s">
        <v>563</v>
      </c>
      <c r="AV48" s="24">
        <f>AW48+AX48</f>
        <v>0</v>
      </c>
      <c r="AW48" s="24">
        <f>H48*AO48</f>
        <v>0</v>
      </c>
      <c r="AX48" s="24">
        <f>H48*AP48</f>
        <v>0</v>
      </c>
      <c r="AY48" s="30" t="s">
        <v>413</v>
      </c>
      <c r="AZ48" s="30" t="s">
        <v>64</v>
      </c>
      <c r="BA48" s="9" t="s">
        <v>441</v>
      </c>
      <c r="BC48" s="24">
        <f>AW48+AX48</f>
        <v>0</v>
      </c>
      <c r="BD48" s="24">
        <f>I48/(100-BE48)*100</f>
        <v>0</v>
      </c>
      <c r="BE48" s="24">
        <v>0</v>
      </c>
      <c r="BF48" s="24">
        <f>48</f>
        <v>48</v>
      </c>
      <c r="BH48" s="24">
        <f>H48*AO48</f>
        <v>0</v>
      </c>
      <c r="BI48" s="24">
        <f>H48*AP48</f>
        <v>0</v>
      </c>
      <c r="BJ48" s="24">
        <f>H48*I48</f>
        <v>0</v>
      </c>
      <c r="BK48" s="24"/>
      <c r="BL48" s="24">
        <v>15</v>
      </c>
    </row>
    <row r="49" spans="1:64" ht="15" customHeight="1">
      <c r="A49" s="10"/>
      <c r="C49" s="34" t="s">
        <v>131</v>
      </c>
      <c r="F49" s="34" t="s">
        <v>405</v>
      </c>
      <c r="H49" s="3">
        <v>5.8000000000000007</v>
      </c>
      <c r="M49" s="12"/>
    </row>
    <row r="50" spans="1:64" ht="15" customHeight="1">
      <c r="A50" s="39" t="s">
        <v>459</v>
      </c>
      <c r="B50" s="8" t="s">
        <v>216</v>
      </c>
      <c r="C50" s="55" t="s">
        <v>219</v>
      </c>
      <c r="D50" s="55"/>
      <c r="E50" s="55"/>
      <c r="F50" s="55"/>
      <c r="G50" s="8" t="s">
        <v>556</v>
      </c>
      <c r="H50" s="24">
        <v>5.8</v>
      </c>
      <c r="I50" s="24">
        <v>0</v>
      </c>
      <c r="J50" s="24">
        <f>H50*AO50</f>
        <v>0</v>
      </c>
      <c r="K50" s="24">
        <f>H50*AP50</f>
        <v>0</v>
      </c>
      <c r="L50" s="24">
        <f>H50*I50</f>
        <v>0</v>
      </c>
      <c r="M50" s="47" t="s">
        <v>399</v>
      </c>
      <c r="Z50" s="24">
        <f>IF(AQ50="5",BJ50,0)</f>
        <v>0</v>
      </c>
      <c r="AB50" s="24">
        <f>IF(AQ50="1",BH50,0)</f>
        <v>0</v>
      </c>
      <c r="AC50" s="24">
        <f>IF(AQ50="1",BI50,0)</f>
        <v>0</v>
      </c>
      <c r="AD50" s="24">
        <f>IF(AQ50="7",BH50,0)</f>
        <v>0</v>
      </c>
      <c r="AE50" s="24">
        <f>IF(AQ50="7",BI50,0)</f>
        <v>0</v>
      </c>
      <c r="AF50" s="24">
        <f>IF(AQ50="2",BH50,0)</f>
        <v>0</v>
      </c>
      <c r="AG50" s="24">
        <f>IF(AQ50="2",BI50,0)</f>
        <v>0</v>
      </c>
      <c r="AH50" s="24">
        <f>IF(AQ50="0",BJ50,0)</f>
        <v>0</v>
      </c>
      <c r="AI50" s="9" t="s">
        <v>405</v>
      </c>
      <c r="AJ50" s="24">
        <f>IF(AN50=0,L50,0)</f>
        <v>0</v>
      </c>
      <c r="AK50" s="24">
        <f>IF(AN50=15,L50,0)</f>
        <v>0</v>
      </c>
      <c r="AL50" s="24">
        <f>IF(AN50=21,L50,0)</f>
        <v>0</v>
      </c>
      <c r="AN50" s="24">
        <v>21</v>
      </c>
      <c r="AO50" s="24">
        <f>I50*0</f>
        <v>0</v>
      </c>
      <c r="AP50" s="24">
        <f>I50*(1-0)</f>
        <v>0</v>
      </c>
      <c r="AQ50" s="30" t="s">
        <v>563</v>
      </c>
      <c r="AV50" s="24">
        <f>AW50+AX50</f>
        <v>0</v>
      </c>
      <c r="AW50" s="24">
        <f>H50*AO50</f>
        <v>0</v>
      </c>
      <c r="AX50" s="24">
        <f>H50*AP50</f>
        <v>0</v>
      </c>
      <c r="AY50" s="30" t="s">
        <v>413</v>
      </c>
      <c r="AZ50" s="30" t="s">
        <v>64</v>
      </c>
      <c r="BA50" s="9" t="s">
        <v>441</v>
      </c>
      <c r="BC50" s="24">
        <f>AW50+AX50</f>
        <v>0</v>
      </c>
      <c r="BD50" s="24">
        <f>I50/(100-BE50)*100</f>
        <v>0</v>
      </c>
      <c r="BE50" s="24">
        <v>0</v>
      </c>
      <c r="BF50" s="24">
        <f>50</f>
        <v>50</v>
      </c>
      <c r="BH50" s="24">
        <f>H50*AO50</f>
        <v>0</v>
      </c>
      <c r="BI50" s="24">
        <f>H50*AP50</f>
        <v>0</v>
      </c>
      <c r="BJ50" s="24">
        <f>H50*I50</f>
        <v>0</v>
      </c>
      <c r="BK50" s="24"/>
      <c r="BL50" s="24">
        <v>15</v>
      </c>
    </row>
    <row r="51" spans="1:64" ht="15" customHeight="1">
      <c r="A51" s="10"/>
      <c r="C51" s="34" t="s">
        <v>478</v>
      </c>
      <c r="F51" s="34" t="s">
        <v>405</v>
      </c>
      <c r="H51" s="3">
        <v>5.8000000000000007</v>
      </c>
      <c r="M51" s="12"/>
    </row>
    <row r="52" spans="1:64" ht="15" customHeight="1">
      <c r="A52" s="19" t="s">
        <v>405</v>
      </c>
      <c r="B52" s="26" t="s">
        <v>52</v>
      </c>
      <c r="C52" s="70" t="s">
        <v>480</v>
      </c>
      <c r="D52" s="70"/>
      <c r="E52" s="70"/>
      <c r="F52" s="70"/>
      <c r="G52" s="11" t="s">
        <v>529</v>
      </c>
      <c r="H52" s="11" t="s">
        <v>529</v>
      </c>
      <c r="I52" s="11" t="s">
        <v>529</v>
      </c>
      <c r="J52" s="31">
        <f>SUM(J53:J75)</f>
        <v>0</v>
      </c>
      <c r="K52" s="31">
        <f>SUM(K53:K75)</f>
        <v>0</v>
      </c>
      <c r="L52" s="31">
        <f>SUM(L53:L75)</f>
        <v>0</v>
      </c>
      <c r="M52" s="35" t="s">
        <v>405</v>
      </c>
      <c r="AI52" s="9" t="s">
        <v>405</v>
      </c>
      <c r="AS52" s="31">
        <f>SUM(AJ53:AJ75)</f>
        <v>0</v>
      </c>
      <c r="AT52" s="31">
        <f>SUM(AK53:AK75)</f>
        <v>0</v>
      </c>
      <c r="AU52" s="31">
        <f>SUM(AL53:AL75)</f>
        <v>0</v>
      </c>
    </row>
    <row r="53" spans="1:64" ht="15" customHeight="1">
      <c r="A53" s="39" t="s">
        <v>367</v>
      </c>
      <c r="B53" s="8" t="s">
        <v>220</v>
      </c>
      <c r="C53" s="55" t="s">
        <v>288</v>
      </c>
      <c r="D53" s="55"/>
      <c r="E53" s="55"/>
      <c r="F53" s="55"/>
      <c r="G53" s="8" t="s">
        <v>547</v>
      </c>
      <c r="H53" s="24">
        <v>78.143540000000002</v>
      </c>
      <c r="I53" s="24">
        <v>0</v>
      </c>
      <c r="J53" s="24">
        <f>H53*AO53</f>
        <v>0</v>
      </c>
      <c r="K53" s="24">
        <f>H53*AP53</f>
        <v>0</v>
      </c>
      <c r="L53" s="24">
        <f>H53*I53</f>
        <v>0</v>
      </c>
      <c r="M53" s="47" t="s">
        <v>399</v>
      </c>
      <c r="Z53" s="24">
        <f>IF(AQ53="5",BJ53,0)</f>
        <v>0</v>
      </c>
      <c r="AB53" s="24">
        <f>IF(AQ53="1",BH53,0)</f>
        <v>0</v>
      </c>
      <c r="AC53" s="24">
        <f>IF(AQ53="1",BI53,0)</f>
        <v>0</v>
      </c>
      <c r="AD53" s="24">
        <f>IF(AQ53="7",BH53,0)</f>
        <v>0</v>
      </c>
      <c r="AE53" s="24">
        <f>IF(AQ53="7",BI53,0)</f>
        <v>0</v>
      </c>
      <c r="AF53" s="24">
        <f>IF(AQ53="2",BH53,0)</f>
        <v>0</v>
      </c>
      <c r="AG53" s="24">
        <f>IF(AQ53="2",BI53,0)</f>
        <v>0</v>
      </c>
      <c r="AH53" s="24">
        <f>IF(AQ53="0",BJ53,0)</f>
        <v>0</v>
      </c>
      <c r="AI53" s="9" t="s">
        <v>405</v>
      </c>
      <c r="AJ53" s="24">
        <f>IF(AN53=0,L53,0)</f>
        <v>0</v>
      </c>
      <c r="AK53" s="24">
        <f>IF(AN53=15,L53,0)</f>
        <v>0</v>
      </c>
      <c r="AL53" s="24">
        <f>IF(AN53=21,L53,0)</f>
        <v>0</v>
      </c>
      <c r="AN53" s="24">
        <v>21</v>
      </c>
      <c r="AO53" s="24">
        <f>I53*0</f>
        <v>0</v>
      </c>
      <c r="AP53" s="24">
        <f>I53*(1-0)</f>
        <v>0</v>
      </c>
      <c r="AQ53" s="30" t="s">
        <v>563</v>
      </c>
      <c r="AV53" s="24">
        <f>AW53+AX53</f>
        <v>0</v>
      </c>
      <c r="AW53" s="24">
        <f>H53*AO53</f>
        <v>0</v>
      </c>
      <c r="AX53" s="24">
        <f>H53*AP53</f>
        <v>0</v>
      </c>
      <c r="AY53" s="30" t="s">
        <v>530</v>
      </c>
      <c r="AZ53" s="30" t="s">
        <v>64</v>
      </c>
      <c r="BA53" s="9" t="s">
        <v>441</v>
      </c>
      <c r="BC53" s="24">
        <f>AW53+AX53</f>
        <v>0</v>
      </c>
      <c r="BD53" s="24">
        <f>I53/(100-BE53)*100</f>
        <v>0</v>
      </c>
      <c r="BE53" s="24">
        <v>0</v>
      </c>
      <c r="BF53" s="24">
        <f>53</f>
        <v>53</v>
      </c>
      <c r="BH53" s="24">
        <f>H53*AO53</f>
        <v>0</v>
      </c>
      <c r="BI53" s="24">
        <f>H53*AP53</f>
        <v>0</v>
      </c>
      <c r="BJ53" s="24">
        <f>H53*I53</f>
        <v>0</v>
      </c>
      <c r="BK53" s="24"/>
      <c r="BL53" s="24">
        <v>16</v>
      </c>
    </row>
    <row r="54" spans="1:64" ht="15" customHeight="1">
      <c r="A54" s="10"/>
      <c r="C54" s="34" t="s">
        <v>99</v>
      </c>
      <c r="F54" s="34" t="s">
        <v>405</v>
      </c>
      <c r="H54" s="3">
        <v>76.257500000000007</v>
      </c>
      <c r="M54" s="12"/>
    </row>
    <row r="55" spans="1:64" ht="15" customHeight="1">
      <c r="A55" s="10"/>
      <c r="C55" s="34" t="s">
        <v>598</v>
      </c>
      <c r="F55" s="34" t="s">
        <v>405</v>
      </c>
      <c r="H55" s="3">
        <v>1.8860400000000002</v>
      </c>
      <c r="M55" s="12"/>
    </row>
    <row r="56" spans="1:64" ht="15" customHeight="1">
      <c r="A56" s="39" t="s">
        <v>29</v>
      </c>
      <c r="B56" s="8" t="s">
        <v>72</v>
      </c>
      <c r="C56" s="55" t="s">
        <v>128</v>
      </c>
      <c r="D56" s="55"/>
      <c r="E56" s="55"/>
      <c r="F56" s="55"/>
      <c r="G56" s="8" t="s">
        <v>547</v>
      </c>
      <c r="H56" s="24">
        <v>213.584</v>
      </c>
      <c r="I56" s="24">
        <v>0</v>
      </c>
      <c r="J56" s="24">
        <f>H56*AO56</f>
        <v>0</v>
      </c>
      <c r="K56" s="24">
        <f>H56*AP56</f>
        <v>0</v>
      </c>
      <c r="L56" s="24">
        <f>H56*I56</f>
        <v>0</v>
      </c>
      <c r="M56" s="47" t="s">
        <v>399</v>
      </c>
      <c r="Z56" s="24">
        <f>IF(AQ56="5",BJ56,0)</f>
        <v>0</v>
      </c>
      <c r="AB56" s="24">
        <f>IF(AQ56="1",BH56,0)</f>
        <v>0</v>
      </c>
      <c r="AC56" s="24">
        <f>IF(AQ56="1",BI56,0)</f>
        <v>0</v>
      </c>
      <c r="AD56" s="24">
        <f>IF(AQ56="7",BH56,0)</f>
        <v>0</v>
      </c>
      <c r="AE56" s="24">
        <f>IF(AQ56="7",BI56,0)</f>
        <v>0</v>
      </c>
      <c r="AF56" s="24">
        <f>IF(AQ56="2",BH56,0)</f>
        <v>0</v>
      </c>
      <c r="AG56" s="24">
        <f>IF(AQ56="2",BI56,0)</f>
        <v>0</v>
      </c>
      <c r="AH56" s="24">
        <f>IF(AQ56="0",BJ56,0)</f>
        <v>0</v>
      </c>
      <c r="AI56" s="9" t="s">
        <v>405</v>
      </c>
      <c r="AJ56" s="24">
        <f>IF(AN56=0,L56,0)</f>
        <v>0</v>
      </c>
      <c r="AK56" s="24">
        <f>IF(AN56=15,L56,0)</f>
        <v>0</v>
      </c>
      <c r="AL56" s="24">
        <f>IF(AN56=21,L56,0)</f>
        <v>0</v>
      </c>
      <c r="AN56" s="24">
        <v>21</v>
      </c>
      <c r="AO56" s="24">
        <f>I56*0</f>
        <v>0</v>
      </c>
      <c r="AP56" s="24">
        <f>I56*(1-0)</f>
        <v>0</v>
      </c>
      <c r="AQ56" s="30" t="s">
        <v>563</v>
      </c>
      <c r="AV56" s="24">
        <f>AW56+AX56</f>
        <v>0</v>
      </c>
      <c r="AW56" s="24">
        <f>H56*AO56</f>
        <v>0</v>
      </c>
      <c r="AX56" s="24">
        <f>H56*AP56</f>
        <v>0</v>
      </c>
      <c r="AY56" s="30" t="s">
        <v>530</v>
      </c>
      <c r="AZ56" s="30" t="s">
        <v>64</v>
      </c>
      <c r="BA56" s="9" t="s">
        <v>441</v>
      </c>
      <c r="BC56" s="24">
        <f>AW56+AX56</f>
        <v>0</v>
      </c>
      <c r="BD56" s="24">
        <f>I56/(100-BE56)*100</f>
        <v>0</v>
      </c>
      <c r="BE56" s="24">
        <v>0</v>
      </c>
      <c r="BF56" s="24">
        <f>56</f>
        <v>56</v>
      </c>
      <c r="BH56" s="24">
        <f>H56*AO56</f>
        <v>0</v>
      </c>
      <c r="BI56" s="24">
        <f>H56*AP56</f>
        <v>0</v>
      </c>
      <c r="BJ56" s="24">
        <f>H56*I56</f>
        <v>0</v>
      </c>
      <c r="BK56" s="24"/>
      <c r="BL56" s="24">
        <v>16</v>
      </c>
    </row>
    <row r="57" spans="1:64" ht="15" customHeight="1">
      <c r="A57" s="10"/>
      <c r="C57" s="34" t="s">
        <v>356</v>
      </c>
      <c r="F57" s="34" t="s">
        <v>405</v>
      </c>
      <c r="H57" s="3">
        <v>201.17300000000003</v>
      </c>
      <c r="M57" s="12"/>
    </row>
    <row r="58" spans="1:64" ht="15" customHeight="1">
      <c r="A58" s="10"/>
      <c r="C58" s="34" t="s">
        <v>199</v>
      </c>
      <c r="F58" s="34" t="s">
        <v>405</v>
      </c>
      <c r="H58" s="3">
        <v>12.411000000000001</v>
      </c>
      <c r="M58" s="12"/>
    </row>
    <row r="59" spans="1:64" ht="15" customHeight="1">
      <c r="A59" s="39" t="s">
        <v>414</v>
      </c>
      <c r="B59" s="8" t="s">
        <v>515</v>
      </c>
      <c r="C59" s="55" t="s">
        <v>239</v>
      </c>
      <c r="D59" s="55"/>
      <c r="E59" s="55"/>
      <c r="F59" s="55"/>
      <c r="G59" s="8" t="s">
        <v>547</v>
      </c>
      <c r="H59" s="24">
        <v>172.43326999999999</v>
      </c>
      <c r="I59" s="24">
        <v>0</v>
      </c>
      <c r="J59" s="24">
        <f>H59*AO59</f>
        <v>0</v>
      </c>
      <c r="K59" s="24">
        <f>H59*AP59</f>
        <v>0</v>
      </c>
      <c r="L59" s="24">
        <f>H59*I59</f>
        <v>0</v>
      </c>
      <c r="M59" s="47" t="s">
        <v>399</v>
      </c>
      <c r="Z59" s="24">
        <f>IF(AQ59="5",BJ59,0)</f>
        <v>0</v>
      </c>
      <c r="AB59" s="24">
        <f>IF(AQ59="1",BH59,0)</f>
        <v>0</v>
      </c>
      <c r="AC59" s="24">
        <f>IF(AQ59="1",BI59,0)</f>
        <v>0</v>
      </c>
      <c r="AD59" s="24">
        <f>IF(AQ59="7",BH59,0)</f>
        <v>0</v>
      </c>
      <c r="AE59" s="24">
        <f>IF(AQ59="7",BI59,0)</f>
        <v>0</v>
      </c>
      <c r="AF59" s="24">
        <f>IF(AQ59="2",BH59,0)</f>
        <v>0</v>
      </c>
      <c r="AG59" s="24">
        <f>IF(AQ59="2",BI59,0)</f>
        <v>0</v>
      </c>
      <c r="AH59" s="24">
        <f>IF(AQ59="0",BJ59,0)</f>
        <v>0</v>
      </c>
      <c r="AI59" s="9" t="s">
        <v>405</v>
      </c>
      <c r="AJ59" s="24">
        <f>IF(AN59=0,L59,0)</f>
        <v>0</v>
      </c>
      <c r="AK59" s="24">
        <f>IF(AN59=15,L59,0)</f>
        <v>0</v>
      </c>
      <c r="AL59" s="24">
        <f>IF(AN59=21,L59,0)</f>
        <v>0</v>
      </c>
      <c r="AN59" s="24">
        <v>21</v>
      </c>
      <c r="AO59" s="24">
        <f>I59*0</f>
        <v>0</v>
      </c>
      <c r="AP59" s="24">
        <f>I59*(1-0)</f>
        <v>0</v>
      </c>
      <c r="AQ59" s="30" t="s">
        <v>563</v>
      </c>
      <c r="AV59" s="24">
        <f>AW59+AX59</f>
        <v>0</v>
      </c>
      <c r="AW59" s="24">
        <f>H59*AO59</f>
        <v>0</v>
      </c>
      <c r="AX59" s="24">
        <f>H59*AP59</f>
        <v>0</v>
      </c>
      <c r="AY59" s="30" t="s">
        <v>530</v>
      </c>
      <c r="AZ59" s="30" t="s">
        <v>64</v>
      </c>
      <c r="BA59" s="9" t="s">
        <v>441</v>
      </c>
      <c r="BC59" s="24">
        <f>AW59+AX59</f>
        <v>0</v>
      </c>
      <c r="BD59" s="24">
        <f>I59/(100-BE59)*100</f>
        <v>0</v>
      </c>
      <c r="BE59" s="24">
        <v>0</v>
      </c>
      <c r="BF59" s="24">
        <f>59</f>
        <v>59</v>
      </c>
      <c r="BH59" s="24">
        <f>H59*AO59</f>
        <v>0</v>
      </c>
      <c r="BI59" s="24">
        <f>H59*AP59</f>
        <v>0</v>
      </c>
      <c r="BJ59" s="24">
        <f>H59*I59</f>
        <v>0</v>
      </c>
      <c r="BK59" s="24"/>
      <c r="BL59" s="24">
        <v>16</v>
      </c>
    </row>
    <row r="60" spans="1:64" ht="15" customHeight="1">
      <c r="A60" s="10"/>
      <c r="C60" s="34" t="s">
        <v>583</v>
      </c>
      <c r="F60" s="34" t="s">
        <v>405</v>
      </c>
      <c r="H60" s="3">
        <v>50.499540000000003</v>
      </c>
      <c r="M60" s="12"/>
    </row>
    <row r="61" spans="1:64" ht="15" customHeight="1">
      <c r="A61" s="10"/>
      <c r="C61" s="34" t="s">
        <v>35</v>
      </c>
      <c r="F61" s="34" t="s">
        <v>405</v>
      </c>
      <c r="H61" s="3">
        <v>121.93373000000001</v>
      </c>
      <c r="M61" s="12"/>
    </row>
    <row r="62" spans="1:64" ht="15" customHeight="1">
      <c r="A62" s="39" t="s">
        <v>541</v>
      </c>
      <c r="B62" s="8" t="s">
        <v>264</v>
      </c>
      <c r="C62" s="55" t="s">
        <v>156</v>
      </c>
      <c r="D62" s="55"/>
      <c r="E62" s="55"/>
      <c r="F62" s="55"/>
      <c r="G62" s="8" t="s">
        <v>547</v>
      </c>
      <c r="H62" s="24">
        <v>172.43326999999999</v>
      </c>
      <c r="I62" s="24">
        <v>0</v>
      </c>
      <c r="J62" s="24">
        <f>H62*AO62</f>
        <v>0</v>
      </c>
      <c r="K62" s="24">
        <f>H62*AP62</f>
        <v>0</v>
      </c>
      <c r="L62" s="24">
        <f>H62*I62</f>
        <v>0</v>
      </c>
      <c r="M62" s="47" t="s">
        <v>399</v>
      </c>
      <c r="Z62" s="24">
        <f>IF(AQ62="5",BJ62,0)</f>
        <v>0</v>
      </c>
      <c r="AB62" s="24">
        <f>IF(AQ62="1",BH62,0)</f>
        <v>0</v>
      </c>
      <c r="AC62" s="24">
        <f>IF(AQ62="1",BI62,0)</f>
        <v>0</v>
      </c>
      <c r="AD62" s="24">
        <f>IF(AQ62="7",BH62,0)</f>
        <v>0</v>
      </c>
      <c r="AE62" s="24">
        <f>IF(AQ62="7",BI62,0)</f>
        <v>0</v>
      </c>
      <c r="AF62" s="24">
        <f>IF(AQ62="2",BH62,0)</f>
        <v>0</v>
      </c>
      <c r="AG62" s="24">
        <f>IF(AQ62="2",BI62,0)</f>
        <v>0</v>
      </c>
      <c r="AH62" s="24">
        <f>IF(AQ62="0",BJ62,0)</f>
        <v>0</v>
      </c>
      <c r="AI62" s="9" t="s">
        <v>405</v>
      </c>
      <c r="AJ62" s="24">
        <f>IF(AN62=0,L62,0)</f>
        <v>0</v>
      </c>
      <c r="AK62" s="24">
        <f>IF(AN62=15,L62,0)</f>
        <v>0</v>
      </c>
      <c r="AL62" s="24">
        <f>IF(AN62=21,L62,0)</f>
        <v>0</v>
      </c>
      <c r="AN62" s="24">
        <v>21</v>
      </c>
      <c r="AO62" s="24">
        <f>I62*0</f>
        <v>0</v>
      </c>
      <c r="AP62" s="24">
        <f>I62*(1-0)</f>
        <v>0</v>
      </c>
      <c r="AQ62" s="30" t="s">
        <v>563</v>
      </c>
      <c r="AV62" s="24">
        <f>AW62+AX62</f>
        <v>0</v>
      </c>
      <c r="AW62" s="24">
        <f>H62*AO62</f>
        <v>0</v>
      </c>
      <c r="AX62" s="24">
        <f>H62*AP62</f>
        <v>0</v>
      </c>
      <c r="AY62" s="30" t="s">
        <v>530</v>
      </c>
      <c r="AZ62" s="30" t="s">
        <v>64</v>
      </c>
      <c r="BA62" s="9" t="s">
        <v>441</v>
      </c>
      <c r="BC62" s="24">
        <f>AW62+AX62</f>
        <v>0</v>
      </c>
      <c r="BD62" s="24">
        <f>I62/(100-BE62)*100</f>
        <v>0</v>
      </c>
      <c r="BE62" s="24">
        <v>0</v>
      </c>
      <c r="BF62" s="24">
        <f>62</f>
        <v>62</v>
      </c>
      <c r="BH62" s="24">
        <f>H62*AO62</f>
        <v>0</v>
      </c>
      <c r="BI62" s="24">
        <f>H62*AP62</f>
        <v>0</v>
      </c>
      <c r="BJ62" s="24">
        <f>H62*I62</f>
        <v>0</v>
      </c>
      <c r="BK62" s="24"/>
      <c r="BL62" s="24">
        <v>16</v>
      </c>
    </row>
    <row r="63" spans="1:64" ht="15" customHeight="1">
      <c r="A63" s="10"/>
      <c r="C63" s="34" t="s">
        <v>224</v>
      </c>
      <c r="F63" s="34" t="s">
        <v>405</v>
      </c>
      <c r="H63" s="3">
        <v>172.43327000000002</v>
      </c>
      <c r="M63" s="12"/>
    </row>
    <row r="64" spans="1:64" ht="15" customHeight="1">
      <c r="A64" s="39" t="s">
        <v>260</v>
      </c>
      <c r="B64" s="8" t="s">
        <v>515</v>
      </c>
      <c r="C64" s="55" t="s">
        <v>234</v>
      </c>
      <c r="D64" s="55"/>
      <c r="E64" s="55"/>
      <c r="F64" s="55"/>
      <c r="G64" s="8" t="s">
        <v>547</v>
      </c>
      <c r="H64" s="24">
        <v>172.43326999999999</v>
      </c>
      <c r="I64" s="24">
        <v>0</v>
      </c>
      <c r="J64" s="24">
        <f>H64*AO64</f>
        <v>0</v>
      </c>
      <c r="K64" s="24">
        <f>H64*AP64</f>
        <v>0</v>
      </c>
      <c r="L64" s="24">
        <f>H64*I64</f>
        <v>0</v>
      </c>
      <c r="M64" s="47" t="s">
        <v>399</v>
      </c>
      <c r="Z64" s="24">
        <f>IF(AQ64="5",BJ64,0)</f>
        <v>0</v>
      </c>
      <c r="AB64" s="24">
        <f>IF(AQ64="1",BH64,0)</f>
        <v>0</v>
      </c>
      <c r="AC64" s="24">
        <f>IF(AQ64="1",BI64,0)</f>
        <v>0</v>
      </c>
      <c r="AD64" s="24">
        <f>IF(AQ64="7",BH64,0)</f>
        <v>0</v>
      </c>
      <c r="AE64" s="24">
        <f>IF(AQ64="7",BI64,0)</f>
        <v>0</v>
      </c>
      <c r="AF64" s="24">
        <f>IF(AQ64="2",BH64,0)</f>
        <v>0</v>
      </c>
      <c r="AG64" s="24">
        <f>IF(AQ64="2",BI64,0)</f>
        <v>0</v>
      </c>
      <c r="AH64" s="24">
        <f>IF(AQ64="0",BJ64,0)</f>
        <v>0</v>
      </c>
      <c r="AI64" s="9" t="s">
        <v>405</v>
      </c>
      <c r="AJ64" s="24">
        <f>IF(AN64=0,L64,0)</f>
        <v>0</v>
      </c>
      <c r="AK64" s="24">
        <f>IF(AN64=15,L64,0)</f>
        <v>0</v>
      </c>
      <c r="AL64" s="24">
        <f>IF(AN64=21,L64,0)</f>
        <v>0</v>
      </c>
      <c r="AN64" s="24">
        <v>21</v>
      </c>
      <c r="AO64" s="24">
        <f>I64*0</f>
        <v>0</v>
      </c>
      <c r="AP64" s="24">
        <f>I64*(1-0)</f>
        <v>0</v>
      </c>
      <c r="AQ64" s="30" t="s">
        <v>563</v>
      </c>
      <c r="AV64" s="24">
        <f>AW64+AX64</f>
        <v>0</v>
      </c>
      <c r="AW64" s="24">
        <f>H64*AO64</f>
        <v>0</v>
      </c>
      <c r="AX64" s="24">
        <f>H64*AP64</f>
        <v>0</v>
      </c>
      <c r="AY64" s="30" t="s">
        <v>530</v>
      </c>
      <c r="AZ64" s="30" t="s">
        <v>64</v>
      </c>
      <c r="BA64" s="9" t="s">
        <v>441</v>
      </c>
      <c r="BC64" s="24">
        <f>AW64+AX64</f>
        <v>0</v>
      </c>
      <c r="BD64" s="24">
        <f>I64/(100-BE64)*100</f>
        <v>0</v>
      </c>
      <c r="BE64" s="24">
        <v>0</v>
      </c>
      <c r="BF64" s="24">
        <f>64</f>
        <v>64</v>
      </c>
      <c r="BH64" s="24">
        <f>H64*AO64</f>
        <v>0</v>
      </c>
      <c r="BI64" s="24">
        <f>H64*AP64</f>
        <v>0</v>
      </c>
      <c r="BJ64" s="24">
        <f>H64*I64</f>
        <v>0</v>
      </c>
      <c r="BK64" s="24"/>
      <c r="BL64" s="24">
        <v>16</v>
      </c>
    </row>
    <row r="65" spans="1:64" ht="15" customHeight="1">
      <c r="A65" s="10"/>
      <c r="C65" s="34" t="s">
        <v>583</v>
      </c>
      <c r="F65" s="34" t="s">
        <v>405</v>
      </c>
      <c r="H65" s="3">
        <v>50.499540000000003</v>
      </c>
      <c r="M65" s="12"/>
    </row>
    <row r="66" spans="1:64" ht="15" customHeight="1">
      <c r="A66" s="10"/>
      <c r="C66" s="34" t="s">
        <v>35</v>
      </c>
      <c r="F66" s="34" t="s">
        <v>405</v>
      </c>
      <c r="H66" s="3">
        <v>121.93373000000001</v>
      </c>
      <c r="M66" s="12"/>
    </row>
    <row r="67" spans="1:64" ht="15" customHeight="1">
      <c r="A67" s="39" t="s">
        <v>54</v>
      </c>
      <c r="B67" s="8" t="s">
        <v>264</v>
      </c>
      <c r="C67" s="55" t="s">
        <v>412</v>
      </c>
      <c r="D67" s="55"/>
      <c r="E67" s="55"/>
      <c r="F67" s="55"/>
      <c r="G67" s="8" t="s">
        <v>547</v>
      </c>
      <c r="H67" s="24">
        <v>172.43326999999999</v>
      </c>
      <c r="I67" s="24">
        <v>0</v>
      </c>
      <c r="J67" s="24">
        <f>H67*AO67</f>
        <v>0</v>
      </c>
      <c r="K67" s="24">
        <f>H67*AP67</f>
        <v>0</v>
      </c>
      <c r="L67" s="24">
        <f>H67*I67</f>
        <v>0</v>
      </c>
      <c r="M67" s="47" t="s">
        <v>399</v>
      </c>
      <c r="Z67" s="24">
        <f>IF(AQ67="5",BJ67,0)</f>
        <v>0</v>
      </c>
      <c r="AB67" s="24">
        <f>IF(AQ67="1",BH67,0)</f>
        <v>0</v>
      </c>
      <c r="AC67" s="24">
        <f>IF(AQ67="1",BI67,0)</f>
        <v>0</v>
      </c>
      <c r="AD67" s="24">
        <f>IF(AQ67="7",BH67,0)</f>
        <v>0</v>
      </c>
      <c r="AE67" s="24">
        <f>IF(AQ67="7",BI67,0)</f>
        <v>0</v>
      </c>
      <c r="AF67" s="24">
        <f>IF(AQ67="2",BH67,0)</f>
        <v>0</v>
      </c>
      <c r="AG67" s="24">
        <f>IF(AQ67="2",BI67,0)</f>
        <v>0</v>
      </c>
      <c r="AH67" s="24">
        <f>IF(AQ67="0",BJ67,0)</f>
        <v>0</v>
      </c>
      <c r="AI67" s="9" t="s">
        <v>405</v>
      </c>
      <c r="AJ67" s="24">
        <f>IF(AN67=0,L67,0)</f>
        <v>0</v>
      </c>
      <c r="AK67" s="24">
        <f>IF(AN67=15,L67,0)</f>
        <v>0</v>
      </c>
      <c r="AL67" s="24">
        <f>IF(AN67=21,L67,0)</f>
        <v>0</v>
      </c>
      <c r="AN67" s="24">
        <v>21</v>
      </c>
      <c r="AO67" s="24">
        <f>I67*0</f>
        <v>0</v>
      </c>
      <c r="AP67" s="24">
        <f>I67*(1-0)</f>
        <v>0</v>
      </c>
      <c r="AQ67" s="30" t="s">
        <v>563</v>
      </c>
      <c r="AV67" s="24">
        <f>AW67+AX67</f>
        <v>0</v>
      </c>
      <c r="AW67" s="24">
        <f>H67*AO67</f>
        <v>0</v>
      </c>
      <c r="AX67" s="24">
        <f>H67*AP67</f>
        <v>0</v>
      </c>
      <c r="AY67" s="30" t="s">
        <v>530</v>
      </c>
      <c r="AZ67" s="30" t="s">
        <v>64</v>
      </c>
      <c r="BA67" s="9" t="s">
        <v>441</v>
      </c>
      <c r="BC67" s="24">
        <f>AW67+AX67</f>
        <v>0</v>
      </c>
      <c r="BD67" s="24">
        <f>I67/(100-BE67)*100</f>
        <v>0</v>
      </c>
      <c r="BE67" s="24">
        <v>0</v>
      </c>
      <c r="BF67" s="24">
        <f>67</f>
        <v>67</v>
      </c>
      <c r="BH67" s="24">
        <f>H67*AO67</f>
        <v>0</v>
      </c>
      <c r="BI67" s="24">
        <f>H67*AP67</f>
        <v>0</v>
      </c>
      <c r="BJ67" s="24">
        <f>H67*I67</f>
        <v>0</v>
      </c>
      <c r="BK67" s="24"/>
      <c r="BL67" s="24">
        <v>16</v>
      </c>
    </row>
    <row r="68" spans="1:64" ht="15" customHeight="1">
      <c r="A68" s="10"/>
      <c r="C68" s="34" t="s">
        <v>224</v>
      </c>
      <c r="F68" s="34" t="s">
        <v>405</v>
      </c>
      <c r="H68" s="3">
        <v>172.43327000000002</v>
      </c>
      <c r="M68" s="12"/>
    </row>
    <row r="69" spans="1:64" ht="15" customHeight="1">
      <c r="A69" s="39" t="s">
        <v>142</v>
      </c>
      <c r="B69" s="8" t="s">
        <v>515</v>
      </c>
      <c r="C69" s="55" t="s">
        <v>461</v>
      </c>
      <c r="D69" s="55"/>
      <c r="E69" s="55"/>
      <c r="F69" s="55"/>
      <c r="G69" s="8" t="s">
        <v>547</v>
      </c>
      <c r="H69" s="24">
        <v>106.88363</v>
      </c>
      <c r="I69" s="24">
        <v>0</v>
      </c>
      <c r="J69" s="24">
        <f>H69*AO69</f>
        <v>0</v>
      </c>
      <c r="K69" s="24">
        <f>H69*AP69</f>
        <v>0</v>
      </c>
      <c r="L69" s="24">
        <f>H69*I69</f>
        <v>0</v>
      </c>
      <c r="M69" s="47" t="s">
        <v>399</v>
      </c>
      <c r="Z69" s="24">
        <f>IF(AQ69="5",BJ69,0)</f>
        <v>0</v>
      </c>
      <c r="AB69" s="24">
        <f>IF(AQ69="1",BH69,0)</f>
        <v>0</v>
      </c>
      <c r="AC69" s="24">
        <f>IF(AQ69="1",BI69,0)</f>
        <v>0</v>
      </c>
      <c r="AD69" s="24">
        <f>IF(AQ69="7",BH69,0)</f>
        <v>0</v>
      </c>
      <c r="AE69" s="24">
        <f>IF(AQ69="7",BI69,0)</f>
        <v>0</v>
      </c>
      <c r="AF69" s="24">
        <f>IF(AQ69="2",BH69,0)</f>
        <v>0</v>
      </c>
      <c r="AG69" s="24">
        <f>IF(AQ69="2",BI69,0)</f>
        <v>0</v>
      </c>
      <c r="AH69" s="24">
        <f>IF(AQ69="0",BJ69,0)</f>
        <v>0</v>
      </c>
      <c r="AI69" s="9" t="s">
        <v>405</v>
      </c>
      <c r="AJ69" s="24">
        <f>IF(AN69=0,L69,0)</f>
        <v>0</v>
      </c>
      <c r="AK69" s="24">
        <f>IF(AN69=15,L69,0)</f>
        <v>0</v>
      </c>
      <c r="AL69" s="24">
        <f>IF(AN69=21,L69,0)</f>
        <v>0</v>
      </c>
      <c r="AN69" s="24">
        <v>21</v>
      </c>
      <c r="AO69" s="24">
        <f>I69*0</f>
        <v>0</v>
      </c>
      <c r="AP69" s="24">
        <f>I69*(1-0)</f>
        <v>0</v>
      </c>
      <c r="AQ69" s="30" t="s">
        <v>563</v>
      </c>
      <c r="AV69" s="24">
        <f>AW69+AX69</f>
        <v>0</v>
      </c>
      <c r="AW69" s="24">
        <f>H69*AO69</f>
        <v>0</v>
      </c>
      <c r="AX69" s="24">
        <f>H69*AP69</f>
        <v>0</v>
      </c>
      <c r="AY69" s="30" t="s">
        <v>530</v>
      </c>
      <c r="AZ69" s="30" t="s">
        <v>64</v>
      </c>
      <c r="BA69" s="9" t="s">
        <v>441</v>
      </c>
      <c r="BC69" s="24">
        <f>AW69+AX69</f>
        <v>0</v>
      </c>
      <c r="BD69" s="24">
        <f>I69/(100-BE69)*100</f>
        <v>0</v>
      </c>
      <c r="BE69" s="24">
        <v>0</v>
      </c>
      <c r="BF69" s="24">
        <f>69</f>
        <v>69</v>
      </c>
      <c r="BH69" s="24">
        <f>H69*AO69</f>
        <v>0</v>
      </c>
      <c r="BI69" s="24">
        <f>H69*AP69</f>
        <v>0</v>
      </c>
      <c r="BJ69" s="24">
        <f>H69*I69</f>
        <v>0</v>
      </c>
      <c r="BK69" s="24"/>
      <c r="BL69" s="24">
        <v>16</v>
      </c>
    </row>
    <row r="70" spans="1:64" ht="15" customHeight="1">
      <c r="A70" s="10"/>
      <c r="C70" s="34" t="s">
        <v>546</v>
      </c>
      <c r="F70" s="34" t="s">
        <v>405</v>
      </c>
      <c r="H70" s="3">
        <v>279.31654000000003</v>
      </c>
      <c r="M70" s="12"/>
    </row>
    <row r="71" spans="1:64" ht="15" customHeight="1">
      <c r="A71" s="10"/>
      <c r="C71" s="34" t="s">
        <v>74</v>
      </c>
      <c r="F71" s="34" t="s">
        <v>405</v>
      </c>
      <c r="H71" s="3">
        <v>-50.499540000000003</v>
      </c>
      <c r="M71" s="12"/>
    </row>
    <row r="72" spans="1:64" ht="15" customHeight="1">
      <c r="A72" s="10"/>
      <c r="C72" s="34" t="s">
        <v>572</v>
      </c>
      <c r="F72" s="34" t="s">
        <v>405</v>
      </c>
      <c r="H72" s="3">
        <v>-121.93337000000001</v>
      </c>
      <c r="M72" s="12"/>
    </row>
    <row r="73" spans="1:64" ht="15" customHeight="1">
      <c r="A73" s="39" t="s">
        <v>76</v>
      </c>
      <c r="B73" s="8" t="s">
        <v>522</v>
      </c>
      <c r="C73" s="55" t="s">
        <v>601</v>
      </c>
      <c r="D73" s="55"/>
      <c r="E73" s="55"/>
      <c r="F73" s="55"/>
      <c r="G73" s="8" t="s">
        <v>547</v>
      </c>
      <c r="H73" s="24">
        <v>106.88363</v>
      </c>
      <c r="I73" s="24">
        <v>0</v>
      </c>
      <c r="J73" s="24">
        <f>H73*AO73</f>
        <v>0</v>
      </c>
      <c r="K73" s="24">
        <f>H73*AP73</f>
        <v>0</v>
      </c>
      <c r="L73" s="24">
        <f>H73*I73</f>
        <v>0</v>
      </c>
      <c r="M73" s="47" t="s">
        <v>399</v>
      </c>
      <c r="Z73" s="24">
        <f>IF(AQ73="5",BJ73,0)</f>
        <v>0</v>
      </c>
      <c r="AB73" s="24">
        <f>IF(AQ73="1",BH73,0)</f>
        <v>0</v>
      </c>
      <c r="AC73" s="24">
        <f>IF(AQ73="1",BI73,0)</f>
        <v>0</v>
      </c>
      <c r="AD73" s="24">
        <f>IF(AQ73="7",BH73,0)</f>
        <v>0</v>
      </c>
      <c r="AE73" s="24">
        <f>IF(AQ73="7",BI73,0)</f>
        <v>0</v>
      </c>
      <c r="AF73" s="24">
        <f>IF(AQ73="2",BH73,0)</f>
        <v>0</v>
      </c>
      <c r="AG73" s="24">
        <f>IF(AQ73="2",BI73,0)</f>
        <v>0</v>
      </c>
      <c r="AH73" s="24">
        <f>IF(AQ73="0",BJ73,0)</f>
        <v>0</v>
      </c>
      <c r="AI73" s="9" t="s">
        <v>405</v>
      </c>
      <c r="AJ73" s="24">
        <f>IF(AN73=0,L73,0)</f>
        <v>0</v>
      </c>
      <c r="AK73" s="24">
        <f>IF(AN73=15,L73,0)</f>
        <v>0</v>
      </c>
      <c r="AL73" s="24">
        <f>IF(AN73=21,L73,0)</f>
        <v>0</v>
      </c>
      <c r="AN73" s="24">
        <v>21</v>
      </c>
      <c r="AO73" s="24">
        <f>I73*0</f>
        <v>0</v>
      </c>
      <c r="AP73" s="24">
        <f>I73*(1-0)</f>
        <v>0</v>
      </c>
      <c r="AQ73" s="30" t="s">
        <v>563</v>
      </c>
      <c r="AV73" s="24">
        <f>AW73+AX73</f>
        <v>0</v>
      </c>
      <c r="AW73" s="24">
        <f>H73*AO73</f>
        <v>0</v>
      </c>
      <c r="AX73" s="24">
        <f>H73*AP73</f>
        <v>0</v>
      </c>
      <c r="AY73" s="30" t="s">
        <v>530</v>
      </c>
      <c r="AZ73" s="30" t="s">
        <v>64</v>
      </c>
      <c r="BA73" s="9" t="s">
        <v>441</v>
      </c>
      <c r="BC73" s="24">
        <f>AW73+AX73</f>
        <v>0</v>
      </c>
      <c r="BD73" s="24">
        <f>I73/(100-BE73)*100</f>
        <v>0</v>
      </c>
      <c r="BE73" s="24">
        <v>0</v>
      </c>
      <c r="BF73" s="24">
        <f>73</f>
        <v>73</v>
      </c>
      <c r="BH73" s="24">
        <f>H73*AO73</f>
        <v>0</v>
      </c>
      <c r="BI73" s="24">
        <f>H73*AP73</f>
        <v>0</v>
      </c>
      <c r="BJ73" s="24">
        <f>H73*I73</f>
        <v>0</v>
      </c>
      <c r="BK73" s="24"/>
      <c r="BL73" s="24">
        <v>16</v>
      </c>
    </row>
    <row r="74" spans="1:64" ht="15" customHeight="1">
      <c r="A74" s="10"/>
      <c r="C74" s="34" t="s">
        <v>168</v>
      </c>
      <c r="F74" s="34" t="s">
        <v>405</v>
      </c>
      <c r="H74" s="3">
        <v>106.88363000000001</v>
      </c>
      <c r="M74" s="12"/>
    </row>
    <row r="75" spans="1:64" ht="15" customHeight="1">
      <c r="A75" s="39" t="s">
        <v>553</v>
      </c>
      <c r="B75" s="8" t="s">
        <v>272</v>
      </c>
      <c r="C75" s="55" t="s">
        <v>314</v>
      </c>
      <c r="D75" s="55"/>
      <c r="E75" s="55"/>
      <c r="F75" s="55"/>
      <c r="G75" s="8" t="s">
        <v>547</v>
      </c>
      <c r="H75" s="24">
        <v>2030.7889700000001</v>
      </c>
      <c r="I75" s="24">
        <v>0</v>
      </c>
      <c r="J75" s="24">
        <f>H75*AO75</f>
        <v>0</v>
      </c>
      <c r="K75" s="24">
        <f>H75*AP75</f>
        <v>0</v>
      </c>
      <c r="L75" s="24">
        <f>H75*I75</f>
        <v>0</v>
      </c>
      <c r="M75" s="47" t="s">
        <v>399</v>
      </c>
      <c r="Z75" s="24">
        <f>IF(AQ75="5",BJ75,0)</f>
        <v>0</v>
      </c>
      <c r="AB75" s="24">
        <f>IF(AQ75="1",BH75,0)</f>
        <v>0</v>
      </c>
      <c r="AC75" s="24">
        <f>IF(AQ75="1",BI75,0)</f>
        <v>0</v>
      </c>
      <c r="AD75" s="24">
        <f>IF(AQ75="7",BH75,0)</f>
        <v>0</v>
      </c>
      <c r="AE75" s="24">
        <f>IF(AQ75="7",BI75,0)</f>
        <v>0</v>
      </c>
      <c r="AF75" s="24">
        <f>IF(AQ75="2",BH75,0)</f>
        <v>0</v>
      </c>
      <c r="AG75" s="24">
        <f>IF(AQ75="2",BI75,0)</f>
        <v>0</v>
      </c>
      <c r="AH75" s="24">
        <f>IF(AQ75="0",BJ75,0)</f>
        <v>0</v>
      </c>
      <c r="AI75" s="9" t="s">
        <v>405</v>
      </c>
      <c r="AJ75" s="24">
        <f>IF(AN75=0,L75,0)</f>
        <v>0</v>
      </c>
      <c r="AK75" s="24">
        <f>IF(AN75=15,L75,0)</f>
        <v>0</v>
      </c>
      <c r="AL75" s="24">
        <f>IF(AN75=21,L75,0)</f>
        <v>0</v>
      </c>
      <c r="AN75" s="24">
        <v>21</v>
      </c>
      <c r="AO75" s="24">
        <f>I75*0</f>
        <v>0</v>
      </c>
      <c r="AP75" s="24">
        <f>I75*(1-0)</f>
        <v>0</v>
      </c>
      <c r="AQ75" s="30" t="s">
        <v>563</v>
      </c>
      <c r="AV75" s="24">
        <f>AW75+AX75</f>
        <v>0</v>
      </c>
      <c r="AW75" s="24">
        <f>H75*AO75</f>
        <v>0</v>
      </c>
      <c r="AX75" s="24">
        <f>H75*AP75</f>
        <v>0</v>
      </c>
      <c r="AY75" s="30" t="s">
        <v>530</v>
      </c>
      <c r="AZ75" s="30" t="s">
        <v>64</v>
      </c>
      <c r="BA75" s="9" t="s">
        <v>441</v>
      </c>
      <c r="BC75" s="24">
        <f>AW75+AX75</f>
        <v>0</v>
      </c>
      <c r="BD75" s="24">
        <f>I75/(100-BE75)*100</f>
        <v>0</v>
      </c>
      <c r="BE75" s="24">
        <v>0</v>
      </c>
      <c r="BF75" s="24">
        <f>75</f>
        <v>75</v>
      </c>
      <c r="BH75" s="24">
        <f>H75*AO75</f>
        <v>0</v>
      </c>
      <c r="BI75" s="24">
        <f>H75*AP75</f>
        <v>0</v>
      </c>
      <c r="BJ75" s="24">
        <f>H75*I75</f>
        <v>0</v>
      </c>
      <c r="BK75" s="24"/>
      <c r="BL75" s="24">
        <v>16</v>
      </c>
    </row>
    <row r="76" spans="1:64" ht="15" customHeight="1">
      <c r="A76" s="10"/>
      <c r="C76" s="34" t="s">
        <v>428</v>
      </c>
      <c r="F76" s="34" t="s">
        <v>405</v>
      </c>
      <c r="H76" s="3">
        <v>2030.7889700000001</v>
      </c>
      <c r="M76" s="12"/>
    </row>
    <row r="77" spans="1:64" ht="15" customHeight="1">
      <c r="A77" s="19" t="s">
        <v>405</v>
      </c>
      <c r="B77" s="26" t="s">
        <v>406</v>
      </c>
      <c r="C77" s="70" t="s">
        <v>79</v>
      </c>
      <c r="D77" s="70"/>
      <c r="E77" s="70"/>
      <c r="F77" s="70"/>
      <c r="G77" s="11" t="s">
        <v>529</v>
      </c>
      <c r="H77" s="11" t="s">
        <v>529</v>
      </c>
      <c r="I77" s="11" t="s">
        <v>529</v>
      </c>
      <c r="J77" s="31">
        <f>SUM(J78:J96)</f>
        <v>0</v>
      </c>
      <c r="K77" s="31">
        <f>SUM(K78:K96)</f>
        <v>0</v>
      </c>
      <c r="L77" s="31">
        <f>SUM(L78:L96)</f>
        <v>0</v>
      </c>
      <c r="M77" s="35" t="s">
        <v>405</v>
      </c>
      <c r="AI77" s="9" t="s">
        <v>405</v>
      </c>
      <c r="AS77" s="31">
        <f>SUM(AJ78:AJ96)</f>
        <v>0</v>
      </c>
      <c r="AT77" s="31">
        <f>SUM(AK78:AK96)</f>
        <v>0</v>
      </c>
      <c r="AU77" s="31">
        <f>SUM(AL78:AL96)</f>
        <v>0</v>
      </c>
    </row>
    <row r="78" spans="1:64" ht="15" customHeight="1">
      <c r="A78" s="39" t="s">
        <v>614</v>
      </c>
      <c r="B78" s="8" t="s">
        <v>426</v>
      </c>
      <c r="C78" s="55" t="s">
        <v>351</v>
      </c>
      <c r="D78" s="55"/>
      <c r="E78" s="55"/>
      <c r="F78" s="55"/>
      <c r="G78" s="8" t="s">
        <v>547</v>
      </c>
      <c r="H78" s="24">
        <v>50.499540000000003</v>
      </c>
      <c r="I78" s="24">
        <v>0</v>
      </c>
      <c r="J78" s="24">
        <f>H78*AO78</f>
        <v>0</v>
      </c>
      <c r="K78" s="24">
        <f>H78*AP78</f>
        <v>0</v>
      </c>
      <c r="L78" s="24">
        <f>H78*I78</f>
        <v>0</v>
      </c>
      <c r="M78" s="47" t="s">
        <v>399</v>
      </c>
      <c r="Z78" s="24">
        <f>IF(AQ78="5",BJ78,0)</f>
        <v>0</v>
      </c>
      <c r="AB78" s="24">
        <f>IF(AQ78="1",BH78,0)</f>
        <v>0</v>
      </c>
      <c r="AC78" s="24">
        <f>IF(AQ78="1",BI78,0)</f>
        <v>0</v>
      </c>
      <c r="AD78" s="24">
        <f>IF(AQ78="7",BH78,0)</f>
        <v>0</v>
      </c>
      <c r="AE78" s="24">
        <f>IF(AQ78="7",BI78,0)</f>
        <v>0</v>
      </c>
      <c r="AF78" s="24">
        <f>IF(AQ78="2",BH78,0)</f>
        <v>0</v>
      </c>
      <c r="AG78" s="24">
        <f>IF(AQ78="2",BI78,0)</f>
        <v>0</v>
      </c>
      <c r="AH78" s="24">
        <f>IF(AQ78="0",BJ78,0)</f>
        <v>0</v>
      </c>
      <c r="AI78" s="9" t="s">
        <v>405</v>
      </c>
      <c r="AJ78" s="24">
        <f>IF(AN78=0,L78,0)</f>
        <v>0</v>
      </c>
      <c r="AK78" s="24">
        <f>IF(AN78=15,L78,0)</f>
        <v>0</v>
      </c>
      <c r="AL78" s="24">
        <f>IF(AN78=21,L78,0)</f>
        <v>0</v>
      </c>
      <c r="AN78" s="24">
        <v>21</v>
      </c>
      <c r="AO78" s="24">
        <f>I78*0</f>
        <v>0</v>
      </c>
      <c r="AP78" s="24">
        <f>I78*(1-0)</f>
        <v>0</v>
      </c>
      <c r="AQ78" s="30" t="s">
        <v>563</v>
      </c>
      <c r="AV78" s="24">
        <f>AW78+AX78</f>
        <v>0</v>
      </c>
      <c r="AW78" s="24">
        <f>H78*AO78</f>
        <v>0</v>
      </c>
      <c r="AX78" s="24">
        <f>H78*AP78</f>
        <v>0</v>
      </c>
      <c r="AY78" s="30" t="s">
        <v>121</v>
      </c>
      <c r="AZ78" s="30" t="s">
        <v>64</v>
      </c>
      <c r="BA78" s="9" t="s">
        <v>441</v>
      </c>
      <c r="BC78" s="24">
        <f>AW78+AX78</f>
        <v>0</v>
      </c>
      <c r="BD78" s="24">
        <f>I78/(100-BE78)*100</f>
        <v>0</v>
      </c>
      <c r="BE78" s="24">
        <v>0</v>
      </c>
      <c r="BF78" s="24">
        <f>78</f>
        <v>78</v>
      </c>
      <c r="BH78" s="24">
        <f>H78*AO78</f>
        <v>0</v>
      </c>
      <c r="BI78" s="24">
        <f>H78*AP78</f>
        <v>0</v>
      </c>
      <c r="BJ78" s="24">
        <f>H78*I78</f>
        <v>0</v>
      </c>
      <c r="BK78" s="24"/>
      <c r="BL78" s="24">
        <v>17</v>
      </c>
    </row>
    <row r="79" spans="1:64" ht="15" customHeight="1">
      <c r="A79" s="10"/>
      <c r="C79" s="34" t="s">
        <v>606</v>
      </c>
      <c r="F79" s="34" t="s">
        <v>405</v>
      </c>
      <c r="H79" s="3">
        <v>78.143540000000002</v>
      </c>
      <c r="M79" s="12"/>
    </row>
    <row r="80" spans="1:64" ht="15" customHeight="1">
      <c r="A80" s="10"/>
      <c r="C80" s="34" t="s">
        <v>60</v>
      </c>
      <c r="F80" s="34" t="s">
        <v>405</v>
      </c>
      <c r="H80" s="3">
        <v>-1.8135000000000001</v>
      </c>
      <c r="M80" s="12"/>
    </row>
    <row r="81" spans="1:64" ht="15" customHeight="1">
      <c r="A81" s="10"/>
      <c r="C81" s="34" t="s">
        <v>265</v>
      </c>
      <c r="F81" s="34" t="s">
        <v>405</v>
      </c>
      <c r="H81" s="3">
        <v>-1.8135000000000001</v>
      </c>
      <c r="M81" s="12"/>
    </row>
    <row r="82" spans="1:64" ht="15" customHeight="1">
      <c r="A82" s="10"/>
      <c r="C82" s="34" t="s">
        <v>166</v>
      </c>
      <c r="F82" s="34" t="s">
        <v>405</v>
      </c>
      <c r="H82" s="3">
        <v>-23.625000000000004</v>
      </c>
      <c r="M82" s="12"/>
    </row>
    <row r="83" spans="1:64" ht="15" customHeight="1">
      <c r="A83" s="10"/>
      <c r="C83" s="34" t="s">
        <v>462</v>
      </c>
      <c r="F83" s="34" t="s">
        <v>405</v>
      </c>
      <c r="H83" s="3">
        <v>-0.39200000000000002</v>
      </c>
      <c r="M83" s="12"/>
    </row>
    <row r="84" spans="1:64" ht="15" customHeight="1">
      <c r="A84" s="39" t="s">
        <v>43</v>
      </c>
      <c r="B84" s="8" t="s">
        <v>446</v>
      </c>
      <c r="C84" s="55" t="s">
        <v>17</v>
      </c>
      <c r="D84" s="55"/>
      <c r="E84" s="55"/>
      <c r="F84" s="55"/>
      <c r="G84" s="8" t="s">
        <v>547</v>
      </c>
      <c r="H84" s="24">
        <v>58.554270000000002</v>
      </c>
      <c r="I84" s="24">
        <v>0</v>
      </c>
      <c r="J84" s="24">
        <f>H84*AO84</f>
        <v>0</v>
      </c>
      <c r="K84" s="24">
        <f>H84*AP84</f>
        <v>0</v>
      </c>
      <c r="L84" s="24">
        <f>H84*I84</f>
        <v>0</v>
      </c>
      <c r="M84" s="47" t="s">
        <v>399</v>
      </c>
      <c r="Z84" s="24">
        <f>IF(AQ84="5",BJ84,0)</f>
        <v>0</v>
      </c>
      <c r="AB84" s="24">
        <f>IF(AQ84="1",BH84,0)</f>
        <v>0</v>
      </c>
      <c r="AC84" s="24">
        <f>IF(AQ84="1",BI84,0)</f>
        <v>0</v>
      </c>
      <c r="AD84" s="24">
        <f>IF(AQ84="7",BH84,0)</f>
        <v>0</v>
      </c>
      <c r="AE84" s="24">
        <f>IF(AQ84="7",BI84,0)</f>
        <v>0</v>
      </c>
      <c r="AF84" s="24">
        <f>IF(AQ84="2",BH84,0)</f>
        <v>0</v>
      </c>
      <c r="AG84" s="24">
        <f>IF(AQ84="2",BI84,0)</f>
        <v>0</v>
      </c>
      <c r="AH84" s="24">
        <f>IF(AQ84="0",BJ84,0)</f>
        <v>0</v>
      </c>
      <c r="AI84" s="9" t="s">
        <v>405</v>
      </c>
      <c r="AJ84" s="24">
        <f>IF(AN84=0,L84,0)</f>
        <v>0</v>
      </c>
      <c r="AK84" s="24">
        <f>IF(AN84=15,L84,0)</f>
        <v>0</v>
      </c>
      <c r="AL84" s="24">
        <f>IF(AN84=21,L84,0)</f>
        <v>0</v>
      </c>
      <c r="AN84" s="24">
        <v>21</v>
      </c>
      <c r="AO84" s="24">
        <f>I84*0.296986637084728</f>
        <v>0</v>
      </c>
      <c r="AP84" s="24">
        <f>I84*(1-0.296986637084728)</f>
        <v>0</v>
      </c>
      <c r="AQ84" s="30" t="s">
        <v>563</v>
      </c>
      <c r="AV84" s="24">
        <f>AW84+AX84</f>
        <v>0</v>
      </c>
      <c r="AW84" s="24">
        <f>H84*AO84</f>
        <v>0</v>
      </c>
      <c r="AX84" s="24">
        <f>H84*AP84</f>
        <v>0</v>
      </c>
      <c r="AY84" s="30" t="s">
        <v>121</v>
      </c>
      <c r="AZ84" s="30" t="s">
        <v>64</v>
      </c>
      <c r="BA84" s="9" t="s">
        <v>441</v>
      </c>
      <c r="BC84" s="24">
        <f>AW84+AX84</f>
        <v>0</v>
      </c>
      <c r="BD84" s="24">
        <f>I84/(100-BE84)*100</f>
        <v>0</v>
      </c>
      <c r="BE84" s="24">
        <v>0</v>
      </c>
      <c r="BF84" s="24">
        <f>84</f>
        <v>84</v>
      </c>
      <c r="BH84" s="24">
        <f>H84*AO84</f>
        <v>0</v>
      </c>
      <c r="BI84" s="24">
        <f>H84*AP84</f>
        <v>0</v>
      </c>
      <c r="BJ84" s="24">
        <f>H84*I84</f>
        <v>0</v>
      </c>
      <c r="BK84" s="24"/>
      <c r="BL84" s="24">
        <v>17</v>
      </c>
    </row>
    <row r="85" spans="1:64" ht="15" customHeight="1">
      <c r="A85" s="10"/>
      <c r="C85" s="34" t="s">
        <v>393</v>
      </c>
      <c r="F85" s="34" t="s">
        <v>405</v>
      </c>
      <c r="H85" s="3">
        <v>60.676000000000002</v>
      </c>
      <c r="M85" s="12"/>
    </row>
    <row r="86" spans="1:64" ht="15" customHeight="1">
      <c r="A86" s="10"/>
      <c r="C86" s="34" t="s">
        <v>240</v>
      </c>
      <c r="F86" s="34" t="s">
        <v>405</v>
      </c>
      <c r="H86" s="3">
        <v>-2.1217300000000003</v>
      </c>
      <c r="M86" s="12"/>
    </row>
    <row r="87" spans="1:64" ht="15" customHeight="1">
      <c r="A87" s="10"/>
      <c r="C87" s="34" t="s">
        <v>285</v>
      </c>
      <c r="F87" s="34" t="s">
        <v>405</v>
      </c>
      <c r="H87" s="3">
        <v>0</v>
      </c>
      <c r="M87" s="12"/>
    </row>
    <row r="88" spans="1:64" ht="15" customHeight="1">
      <c r="A88" s="39" t="s">
        <v>372</v>
      </c>
      <c r="B88" s="8" t="s">
        <v>426</v>
      </c>
      <c r="C88" s="55" t="s">
        <v>20</v>
      </c>
      <c r="D88" s="55"/>
      <c r="E88" s="55"/>
      <c r="F88" s="55"/>
      <c r="G88" s="8" t="s">
        <v>547</v>
      </c>
      <c r="H88" s="24">
        <v>121.93373</v>
      </c>
      <c r="I88" s="24">
        <v>0</v>
      </c>
      <c r="J88" s="24">
        <f>H88*AO88</f>
        <v>0</v>
      </c>
      <c r="K88" s="24">
        <f>H88*AP88</f>
        <v>0</v>
      </c>
      <c r="L88" s="24">
        <f>H88*I88</f>
        <v>0</v>
      </c>
      <c r="M88" s="47" t="s">
        <v>399</v>
      </c>
      <c r="Z88" s="24">
        <f>IF(AQ88="5",BJ88,0)</f>
        <v>0</v>
      </c>
      <c r="AB88" s="24">
        <f>IF(AQ88="1",BH88,0)</f>
        <v>0</v>
      </c>
      <c r="AC88" s="24">
        <f>IF(AQ88="1",BI88,0)</f>
        <v>0</v>
      </c>
      <c r="AD88" s="24">
        <f>IF(AQ88="7",BH88,0)</f>
        <v>0</v>
      </c>
      <c r="AE88" s="24">
        <f>IF(AQ88="7",BI88,0)</f>
        <v>0</v>
      </c>
      <c r="AF88" s="24">
        <f>IF(AQ88="2",BH88,0)</f>
        <v>0</v>
      </c>
      <c r="AG88" s="24">
        <f>IF(AQ88="2",BI88,0)</f>
        <v>0</v>
      </c>
      <c r="AH88" s="24">
        <f>IF(AQ88="0",BJ88,0)</f>
        <v>0</v>
      </c>
      <c r="AI88" s="9" t="s">
        <v>405</v>
      </c>
      <c r="AJ88" s="24">
        <f>IF(AN88=0,L88,0)</f>
        <v>0</v>
      </c>
      <c r="AK88" s="24">
        <f>IF(AN88=15,L88,0)</f>
        <v>0</v>
      </c>
      <c r="AL88" s="24">
        <f>IF(AN88=21,L88,0)</f>
        <v>0</v>
      </c>
      <c r="AN88" s="24">
        <v>21</v>
      </c>
      <c r="AO88" s="24">
        <f>I88*0</f>
        <v>0</v>
      </c>
      <c r="AP88" s="24">
        <f>I88*(1-0)</f>
        <v>0</v>
      </c>
      <c r="AQ88" s="30" t="s">
        <v>563</v>
      </c>
      <c r="AV88" s="24">
        <f>AW88+AX88</f>
        <v>0</v>
      </c>
      <c r="AW88" s="24">
        <f>H88*AO88</f>
        <v>0</v>
      </c>
      <c r="AX88" s="24">
        <f>H88*AP88</f>
        <v>0</v>
      </c>
      <c r="AY88" s="30" t="s">
        <v>121</v>
      </c>
      <c r="AZ88" s="30" t="s">
        <v>64</v>
      </c>
      <c r="BA88" s="9" t="s">
        <v>441</v>
      </c>
      <c r="BC88" s="24">
        <f>AW88+AX88</f>
        <v>0</v>
      </c>
      <c r="BD88" s="24">
        <f>I88/(100-BE88)*100</f>
        <v>0</v>
      </c>
      <c r="BE88" s="24">
        <v>0</v>
      </c>
      <c r="BF88" s="24">
        <f>88</f>
        <v>88</v>
      </c>
      <c r="BH88" s="24">
        <f>H88*AO88</f>
        <v>0</v>
      </c>
      <c r="BI88" s="24">
        <f>H88*AP88</f>
        <v>0</v>
      </c>
      <c r="BJ88" s="24">
        <f>H88*I88</f>
        <v>0</v>
      </c>
      <c r="BK88" s="24"/>
      <c r="BL88" s="24">
        <v>17</v>
      </c>
    </row>
    <row r="89" spans="1:64" ht="15" customHeight="1">
      <c r="A89" s="10"/>
      <c r="C89" s="34" t="s">
        <v>112</v>
      </c>
      <c r="F89" s="34" t="s">
        <v>405</v>
      </c>
      <c r="H89" s="3">
        <v>201.17300000000003</v>
      </c>
      <c r="M89" s="12"/>
    </row>
    <row r="90" spans="1:64" ht="15" customHeight="1">
      <c r="A90" s="10"/>
      <c r="C90" s="34" t="s">
        <v>585</v>
      </c>
      <c r="F90" s="34" t="s">
        <v>405</v>
      </c>
      <c r="H90" s="3">
        <v>-20.685000000000002</v>
      </c>
      <c r="M90" s="12"/>
    </row>
    <row r="91" spans="1:64" ht="15" customHeight="1">
      <c r="A91" s="10"/>
      <c r="C91" s="34" t="s">
        <v>438</v>
      </c>
      <c r="F91" s="34" t="s">
        <v>405</v>
      </c>
      <c r="H91" s="3">
        <v>-58.554270000000002</v>
      </c>
      <c r="M91" s="12"/>
    </row>
    <row r="92" spans="1:64" ht="15" customHeight="1">
      <c r="A92" s="39" t="s">
        <v>340</v>
      </c>
      <c r="B92" s="8" t="s">
        <v>176</v>
      </c>
      <c r="C92" s="55" t="s">
        <v>394</v>
      </c>
      <c r="D92" s="55"/>
      <c r="E92" s="55"/>
      <c r="F92" s="55"/>
      <c r="G92" s="8" t="s">
        <v>547</v>
      </c>
      <c r="H92" s="24">
        <v>172.43326999999999</v>
      </c>
      <c r="I92" s="24">
        <v>0</v>
      </c>
      <c r="J92" s="24">
        <f>H92*AO92</f>
        <v>0</v>
      </c>
      <c r="K92" s="24">
        <f>H92*AP92</f>
        <v>0</v>
      </c>
      <c r="L92" s="24">
        <f>H92*I92</f>
        <v>0</v>
      </c>
      <c r="M92" s="47" t="s">
        <v>399</v>
      </c>
      <c r="Z92" s="24">
        <f>IF(AQ92="5",BJ92,0)</f>
        <v>0</v>
      </c>
      <c r="AB92" s="24">
        <f>IF(AQ92="1",BH92,0)</f>
        <v>0</v>
      </c>
      <c r="AC92" s="24">
        <f>IF(AQ92="1",BI92,0)</f>
        <v>0</v>
      </c>
      <c r="AD92" s="24">
        <f>IF(AQ92="7",BH92,0)</f>
        <v>0</v>
      </c>
      <c r="AE92" s="24">
        <f>IF(AQ92="7",BI92,0)</f>
        <v>0</v>
      </c>
      <c r="AF92" s="24">
        <f>IF(AQ92="2",BH92,0)</f>
        <v>0</v>
      </c>
      <c r="AG92" s="24">
        <f>IF(AQ92="2",BI92,0)</f>
        <v>0</v>
      </c>
      <c r="AH92" s="24">
        <f>IF(AQ92="0",BJ92,0)</f>
        <v>0</v>
      </c>
      <c r="AI92" s="9" t="s">
        <v>405</v>
      </c>
      <c r="AJ92" s="24">
        <f>IF(AN92=0,L92,0)</f>
        <v>0</v>
      </c>
      <c r="AK92" s="24">
        <f>IF(AN92=15,L92,0)</f>
        <v>0</v>
      </c>
      <c r="AL92" s="24">
        <f>IF(AN92=21,L92,0)</f>
        <v>0</v>
      </c>
      <c r="AN92" s="24">
        <v>21</v>
      </c>
      <c r="AO92" s="24">
        <f>I92*0</f>
        <v>0</v>
      </c>
      <c r="AP92" s="24">
        <f>I92*(1-0)</f>
        <v>0</v>
      </c>
      <c r="AQ92" s="30" t="s">
        <v>563</v>
      </c>
      <c r="AV92" s="24">
        <f>AW92+AX92</f>
        <v>0</v>
      </c>
      <c r="AW92" s="24">
        <f>H92*AO92</f>
        <v>0</v>
      </c>
      <c r="AX92" s="24">
        <f>H92*AP92</f>
        <v>0</v>
      </c>
      <c r="AY92" s="30" t="s">
        <v>121</v>
      </c>
      <c r="AZ92" s="30" t="s">
        <v>64</v>
      </c>
      <c r="BA92" s="9" t="s">
        <v>441</v>
      </c>
      <c r="BC92" s="24">
        <f>AW92+AX92</f>
        <v>0</v>
      </c>
      <c r="BD92" s="24">
        <f>I92/(100-BE92)*100</f>
        <v>0</v>
      </c>
      <c r="BE92" s="24">
        <v>0</v>
      </c>
      <c r="BF92" s="24">
        <f>92</f>
        <v>92</v>
      </c>
      <c r="BH92" s="24">
        <f>H92*AO92</f>
        <v>0</v>
      </c>
      <c r="BI92" s="24">
        <f>H92*AP92</f>
        <v>0</v>
      </c>
      <c r="BJ92" s="24">
        <f>H92*I92</f>
        <v>0</v>
      </c>
      <c r="BK92" s="24"/>
      <c r="BL92" s="24">
        <v>17</v>
      </c>
    </row>
    <row r="93" spans="1:64" ht="15" customHeight="1">
      <c r="A93" s="10"/>
      <c r="C93" s="34" t="s">
        <v>224</v>
      </c>
      <c r="F93" s="34" t="s">
        <v>405</v>
      </c>
      <c r="H93" s="3">
        <v>172.43327000000002</v>
      </c>
      <c r="M93" s="12"/>
    </row>
    <row r="94" spans="1:64" ht="15" customHeight="1">
      <c r="A94" s="39" t="s">
        <v>484</v>
      </c>
      <c r="B94" s="8" t="s">
        <v>176</v>
      </c>
      <c r="C94" s="55" t="s">
        <v>552</v>
      </c>
      <c r="D94" s="55"/>
      <c r="E94" s="55"/>
      <c r="F94" s="55"/>
      <c r="G94" s="8" t="s">
        <v>547</v>
      </c>
      <c r="H94" s="24">
        <v>106.88363</v>
      </c>
      <c r="I94" s="24">
        <v>0</v>
      </c>
      <c r="J94" s="24">
        <f>H94*AO94</f>
        <v>0</v>
      </c>
      <c r="K94" s="24">
        <f>H94*AP94</f>
        <v>0</v>
      </c>
      <c r="L94" s="24">
        <f>H94*I94</f>
        <v>0</v>
      </c>
      <c r="M94" s="47" t="s">
        <v>399</v>
      </c>
      <c r="Z94" s="24">
        <f>IF(AQ94="5",BJ94,0)</f>
        <v>0</v>
      </c>
      <c r="AB94" s="24">
        <f>IF(AQ94="1",BH94,0)</f>
        <v>0</v>
      </c>
      <c r="AC94" s="24">
        <f>IF(AQ94="1",BI94,0)</f>
        <v>0</v>
      </c>
      <c r="AD94" s="24">
        <f>IF(AQ94="7",BH94,0)</f>
        <v>0</v>
      </c>
      <c r="AE94" s="24">
        <f>IF(AQ94="7",BI94,0)</f>
        <v>0</v>
      </c>
      <c r="AF94" s="24">
        <f>IF(AQ94="2",BH94,0)</f>
        <v>0</v>
      </c>
      <c r="AG94" s="24">
        <f>IF(AQ94="2",BI94,0)</f>
        <v>0</v>
      </c>
      <c r="AH94" s="24">
        <f>IF(AQ94="0",BJ94,0)</f>
        <v>0</v>
      </c>
      <c r="AI94" s="9" t="s">
        <v>405</v>
      </c>
      <c r="AJ94" s="24">
        <f>IF(AN94=0,L94,0)</f>
        <v>0</v>
      </c>
      <c r="AK94" s="24">
        <f>IF(AN94=15,L94,0)</f>
        <v>0</v>
      </c>
      <c r="AL94" s="24">
        <f>IF(AN94=21,L94,0)</f>
        <v>0</v>
      </c>
      <c r="AN94" s="24">
        <v>21</v>
      </c>
      <c r="AO94" s="24">
        <f>I94*0</f>
        <v>0</v>
      </c>
      <c r="AP94" s="24">
        <f>I94*(1-0)</f>
        <v>0</v>
      </c>
      <c r="AQ94" s="30" t="s">
        <v>563</v>
      </c>
      <c r="AV94" s="24">
        <f>AW94+AX94</f>
        <v>0</v>
      </c>
      <c r="AW94" s="24">
        <f>H94*AO94</f>
        <v>0</v>
      </c>
      <c r="AX94" s="24">
        <f>H94*AP94</f>
        <v>0</v>
      </c>
      <c r="AY94" s="30" t="s">
        <v>121</v>
      </c>
      <c r="AZ94" s="30" t="s">
        <v>64</v>
      </c>
      <c r="BA94" s="9" t="s">
        <v>441</v>
      </c>
      <c r="BC94" s="24">
        <f>AW94+AX94</f>
        <v>0</v>
      </c>
      <c r="BD94" s="24">
        <f>I94/(100-BE94)*100</f>
        <v>0</v>
      </c>
      <c r="BE94" s="24">
        <v>0</v>
      </c>
      <c r="BF94" s="24">
        <f>94</f>
        <v>94</v>
      </c>
      <c r="BH94" s="24">
        <f>H94*AO94</f>
        <v>0</v>
      </c>
      <c r="BI94" s="24">
        <f>H94*AP94</f>
        <v>0</v>
      </c>
      <c r="BJ94" s="24">
        <f>H94*I94</f>
        <v>0</v>
      </c>
      <c r="BK94" s="24"/>
      <c r="BL94" s="24">
        <v>17</v>
      </c>
    </row>
    <row r="95" spans="1:64" ht="15" customHeight="1">
      <c r="A95" s="10"/>
      <c r="C95" s="34" t="s">
        <v>168</v>
      </c>
      <c r="F95" s="34" t="s">
        <v>405</v>
      </c>
      <c r="H95" s="3">
        <v>106.88363000000001</v>
      </c>
      <c r="M95" s="12"/>
    </row>
    <row r="96" spans="1:64" ht="15" customHeight="1">
      <c r="A96" s="39" t="s">
        <v>125</v>
      </c>
      <c r="B96" s="8" t="s">
        <v>398</v>
      </c>
      <c r="C96" s="55" t="s">
        <v>610</v>
      </c>
      <c r="D96" s="55"/>
      <c r="E96" s="55"/>
      <c r="F96" s="55"/>
      <c r="G96" s="8" t="s">
        <v>547</v>
      </c>
      <c r="H96" s="24">
        <v>106.88363</v>
      </c>
      <c r="I96" s="24">
        <v>0</v>
      </c>
      <c r="J96" s="24">
        <f>H96*AO96</f>
        <v>0</v>
      </c>
      <c r="K96" s="24">
        <f>H96*AP96</f>
        <v>0</v>
      </c>
      <c r="L96" s="24">
        <f>H96*I96</f>
        <v>0</v>
      </c>
      <c r="M96" s="47" t="s">
        <v>399</v>
      </c>
      <c r="Z96" s="24">
        <f>IF(AQ96="5",BJ96,0)</f>
        <v>0</v>
      </c>
      <c r="AB96" s="24">
        <f>IF(AQ96="1",BH96,0)</f>
        <v>0</v>
      </c>
      <c r="AC96" s="24">
        <f>IF(AQ96="1",BI96,0)</f>
        <v>0</v>
      </c>
      <c r="AD96" s="24">
        <f>IF(AQ96="7",BH96,0)</f>
        <v>0</v>
      </c>
      <c r="AE96" s="24">
        <f>IF(AQ96="7",BI96,0)</f>
        <v>0</v>
      </c>
      <c r="AF96" s="24">
        <f>IF(AQ96="2",BH96,0)</f>
        <v>0</v>
      </c>
      <c r="AG96" s="24">
        <f>IF(AQ96="2",BI96,0)</f>
        <v>0</v>
      </c>
      <c r="AH96" s="24">
        <f>IF(AQ96="0",BJ96,0)</f>
        <v>0</v>
      </c>
      <c r="AI96" s="9" t="s">
        <v>405</v>
      </c>
      <c r="AJ96" s="24">
        <f>IF(AN96=0,L96,0)</f>
        <v>0</v>
      </c>
      <c r="AK96" s="24">
        <f>IF(AN96=15,L96,0)</f>
        <v>0</v>
      </c>
      <c r="AL96" s="24">
        <f>IF(AN96=21,L96,0)</f>
        <v>0</v>
      </c>
      <c r="AN96" s="24">
        <v>21</v>
      </c>
      <c r="AO96" s="24">
        <f>I96*0</f>
        <v>0</v>
      </c>
      <c r="AP96" s="24">
        <f>I96*(1-0)</f>
        <v>0</v>
      </c>
      <c r="AQ96" s="30" t="s">
        <v>563</v>
      </c>
      <c r="AV96" s="24">
        <f>AW96+AX96</f>
        <v>0</v>
      </c>
      <c r="AW96" s="24">
        <f>H96*AO96</f>
        <v>0</v>
      </c>
      <c r="AX96" s="24">
        <f>H96*AP96</f>
        <v>0</v>
      </c>
      <c r="AY96" s="30" t="s">
        <v>121</v>
      </c>
      <c r="AZ96" s="30" t="s">
        <v>64</v>
      </c>
      <c r="BA96" s="9" t="s">
        <v>441</v>
      </c>
      <c r="BC96" s="24">
        <f>AW96+AX96</f>
        <v>0</v>
      </c>
      <c r="BD96" s="24">
        <f>I96/(100-BE96)*100</f>
        <v>0</v>
      </c>
      <c r="BE96" s="24">
        <v>0</v>
      </c>
      <c r="BF96" s="24">
        <f>96</f>
        <v>96</v>
      </c>
      <c r="BH96" s="24">
        <f>H96*AO96</f>
        <v>0</v>
      </c>
      <c r="BI96" s="24">
        <f>H96*AP96</f>
        <v>0</v>
      </c>
      <c r="BJ96" s="24">
        <f>H96*I96</f>
        <v>0</v>
      </c>
      <c r="BK96" s="24"/>
      <c r="BL96" s="24">
        <v>17</v>
      </c>
    </row>
    <row r="97" spans="1:64" ht="15" customHeight="1">
      <c r="A97" s="10"/>
      <c r="C97" s="34" t="s">
        <v>607</v>
      </c>
      <c r="F97" s="34" t="s">
        <v>405</v>
      </c>
      <c r="H97" s="3">
        <v>106.88363000000001</v>
      </c>
      <c r="M97" s="12"/>
    </row>
    <row r="98" spans="1:64" ht="15" customHeight="1">
      <c r="A98" s="19" t="s">
        <v>405</v>
      </c>
      <c r="B98" s="26" t="s">
        <v>414</v>
      </c>
      <c r="C98" s="70" t="s">
        <v>192</v>
      </c>
      <c r="D98" s="70"/>
      <c r="E98" s="70"/>
      <c r="F98" s="70"/>
      <c r="G98" s="11" t="s">
        <v>529</v>
      </c>
      <c r="H98" s="11" t="s">
        <v>529</v>
      </c>
      <c r="I98" s="11" t="s">
        <v>529</v>
      </c>
      <c r="J98" s="31">
        <f>SUM(J99:J99)</f>
        <v>0</v>
      </c>
      <c r="K98" s="31">
        <f>SUM(K99:K99)</f>
        <v>0</v>
      </c>
      <c r="L98" s="31">
        <f>SUM(L99:L99)</f>
        <v>0</v>
      </c>
      <c r="M98" s="35" t="s">
        <v>405</v>
      </c>
      <c r="AI98" s="9" t="s">
        <v>405</v>
      </c>
      <c r="AS98" s="31">
        <f>SUM(AJ99:AJ99)</f>
        <v>0</v>
      </c>
      <c r="AT98" s="31">
        <f>SUM(AK99:AK99)</f>
        <v>0</v>
      </c>
      <c r="AU98" s="31">
        <f>SUM(AL99:AL99)</f>
        <v>0</v>
      </c>
    </row>
    <row r="99" spans="1:64" ht="15" customHeight="1">
      <c r="A99" s="39" t="s">
        <v>627</v>
      </c>
      <c r="B99" s="8" t="s">
        <v>481</v>
      </c>
      <c r="C99" s="55" t="s">
        <v>500</v>
      </c>
      <c r="D99" s="55"/>
      <c r="E99" s="55"/>
      <c r="F99" s="55"/>
      <c r="G99" s="8" t="s">
        <v>547</v>
      </c>
      <c r="H99" s="24">
        <v>12.411</v>
      </c>
      <c r="I99" s="24">
        <v>0</v>
      </c>
      <c r="J99" s="24">
        <f>H99*AO99</f>
        <v>0</v>
      </c>
      <c r="K99" s="24">
        <f>H99*AP99</f>
        <v>0</v>
      </c>
      <c r="L99" s="24">
        <f>H99*I99</f>
        <v>0</v>
      </c>
      <c r="M99" s="47" t="s">
        <v>399</v>
      </c>
      <c r="Z99" s="24">
        <f>IF(AQ99="5",BJ99,0)</f>
        <v>0</v>
      </c>
      <c r="AB99" s="24">
        <f>IF(AQ99="1",BH99,0)</f>
        <v>0</v>
      </c>
      <c r="AC99" s="24">
        <f>IF(AQ99="1",BI99,0)</f>
        <v>0</v>
      </c>
      <c r="AD99" s="24">
        <f>IF(AQ99="7",BH99,0)</f>
        <v>0</v>
      </c>
      <c r="AE99" s="24">
        <f>IF(AQ99="7",BI99,0)</f>
        <v>0</v>
      </c>
      <c r="AF99" s="24">
        <f>IF(AQ99="2",BH99,0)</f>
        <v>0</v>
      </c>
      <c r="AG99" s="24">
        <f>IF(AQ99="2",BI99,0)</f>
        <v>0</v>
      </c>
      <c r="AH99" s="24">
        <f>IF(AQ99="0",BJ99,0)</f>
        <v>0</v>
      </c>
      <c r="AI99" s="9" t="s">
        <v>405</v>
      </c>
      <c r="AJ99" s="24">
        <f>IF(AN99=0,L99,0)</f>
        <v>0</v>
      </c>
      <c r="AK99" s="24">
        <f>IF(AN99=15,L99,0)</f>
        <v>0</v>
      </c>
      <c r="AL99" s="24">
        <f>IF(AN99=21,L99,0)</f>
        <v>0</v>
      </c>
      <c r="AN99" s="24">
        <v>21</v>
      </c>
      <c r="AO99" s="24">
        <f>I99*0.557458043757697</f>
        <v>0</v>
      </c>
      <c r="AP99" s="24">
        <f>I99*(1-0.557458043757697)</f>
        <v>0</v>
      </c>
      <c r="AQ99" s="30" t="s">
        <v>563</v>
      </c>
      <c r="AV99" s="24">
        <f>AW99+AX99</f>
        <v>0</v>
      </c>
      <c r="AW99" s="24">
        <f>H99*AO99</f>
        <v>0</v>
      </c>
      <c r="AX99" s="24">
        <f>H99*AP99</f>
        <v>0</v>
      </c>
      <c r="AY99" s="30" t="s">
        <v>352</v>
      </c>
      <c r="AZ99" s="30" t="s">
        <v>88</v>
      </c>
      <c r="BA99" s="9" t="s">
        <v>441</v>
      </c>
      <c r="BC99" s="24">
        <f>AW99+AX99</f>
        <v>0</v>
      </c>
      <c r="BD99" s="24">
        <f>I99/(100-BE99)*100</f>
        <v>0</v>
      </c>
      <c r="BE99" s="24">
        <v>0</v>
      </c>
      <c r="BF99" s="24">
        <f>99</f>
        <v>99</v>
      </c>
      <c r="BH99" s="24">
        <f>H99*AO99</f>
        <v>0</v>
      </c>
      <c r="BI99" s="24">
        <f>H99*AP99</f>
        <v>0</v>
      </c>
      <c r="BJ99" s="24">
        <f>H99*I99</f>
        <v>0</v>
      </c>
      <c r="BK99" s="24"/>
      <c r="BL99" s="24">
        <v>21</v>
      </c>
    </row>
    <row r="100" spans="1:64" ht="15" customHeight="1">
      <c r="A100" s="10"/>
      <c r="C100" s="34" t="s">
        <v>247</v>
      </c>
      <c r="F100" s="34" t="s">
        <v>405</v>
      </c>
      <c r="H100" s="3">
        <v>12.411000000000001</v>
      </c>
      <c r="M100" s="12"/>
    </row>
    <row r="101" spans="1:64" ht="15" customHeight="1">
      <c r="A101" s="19" t="s">
        <v>405</v>
      </c>
      <c r="B101" s="26" t="s">
        <v>553</v>
      </c>
      <c r="C101" s="70" t="s">
        <v>473</v>
      </c>
      <c r="D101" s="70"/>
      <c r="E101" s="70"/>
      <c r="F101" s="70"/>
      <c r="G101" s="11" t="s">
        <v>529</v>
      </c>
      <c r="H101" s="11" t="s">
        <v>529</v>
      </c>
      <c r="I101" s="11" t="s">
        <v>529</v>
      </c>
      <c r="J101" s="31">
        <f>SUM(J102:J108)</f>
        <v>0</v>
      </c>
      <c r="K101" s="31">
        <f>SUM(K102:K108)</f>
        <v>0</v>
      </c>
      <c r="L101" s="31">
        <f>SUM(L102:L108)</f>
        <v>0</v>
      </c>
      <c r="M101" s="35" t="s">
        <v>405</v>
      </c>
      <c r="AI101" s="9" t="s">
        <v>405</v>
      </c>
      <c r="AS101" s="31">
        <f>SUM(AJ102:AJ108)</f>
        <v>0</v>
      </c>
      <c r="AT101" s="31">
        <f>SUM(AK102:AK108)</f>
        <v>0</v>
      </c>
      <c r="AU101" s="31">
        <f>SUM(AL102:AL108)</f>
        <v>0</v>
      </c>
    </row>
    <row r="102" spans="1:64" ht="15" customHeight="1">
      <c r="A102" s="39" t="s">
        <v>509</v>
      </c>
      <c r="B102" s="8" t="s">
        <v>225</v>
      </c>
      <c r="C102" s="55" t="s">
        <v>350</v>
      </c>
      <c r="D102" s="55"/>
      <c r="E102" s="55"/>
      <c r="F102" s="55"/>
      <c r="G102" s="8" t="s">
        <v>547</v>
      </c>
      <c r="H102" s="24">
        <v>1.8134999999999999</v>
      </c>
      <c r="I102" s="24">
        <v>0</v>
      </c>
      <c r="J102" s="24">
        <f>H102*AO102</f>
        <v>0</v>
      </c>
      <c r="K102" s="24">
        <f>H102*AP102</f>
        <v>0</v>
      </c>
      <c r="L102" s="24">
        <f>H102*I102</f>
        <v>0</v>
      </c>
      <c r="M102" s="47" t="s">
        <v>399</v>
      </c>
      <c r="Z102" s="24">
        <f>IF(AQ102="5",BJ102,0)</f>
        <v>0</v>
      </c>
      <c r="AB102" s="24">
        <f>IF(AQ102="1",BH102,0)</f>
        <v>0</v>
      </c>
      <c r="AC102" s="24">
        <f>IF(AQ102="1",BI102,0)</f>
        <v>0</v>
      </c>
      <c r="AD102" s="24">
        <f>IF(AQ102="7",BH102,0)</f>
        <v>0</v>
      </c>
      <c r="AE102" s="24">
        <f>IF(AQ102="7",BI102,0)</f>
        <v>0</v>
      </c>
      <c r="AF102" s="24">
        <f>IF(AQ102="2",BH102,0)</f>
        <v>0</v>
      </c>
      <c r="AG102" s="24">
        <f>IF(AQ102="2",BI102,0)</f>
        <v>0</v>
      </c>
      <c r="AH102" s="24">
        <f>IF(AQ102="0",BJ102,0)</f>
        <v>0</v>
      </c>
      <c r="AI102" s="9" t="s">
        <v>405</v>
      </c>
      <c r="AJ102" s="24">
        <f>IF(AN102=0,L102,0)</f>
        <v>0</v>
      </c>
      <c r="AK102" s="24">
        <f>IF(AN102=15,L102,0)</f>
        <v>0</v>
      </c>
      <c r="AL102" s="24">
        <f>IF(AN102=21,L102,0)</f>
        <v>0</v>
      </c>
      <c r="AN102" s="24">
        <v>21</v>
      </c>
      <c r="AO102" s="24">
        <f>I102*0.896032258064516</f>
        <v>0</v>
      </c>
      <c r="AP102" s="24">
        <f>I102*(1-0.896032258064516)</f>
        <v>0</v>
      </c>
      <c r="AQ102" s="30" t="s">
        <v>563</v>
      </c>
      <c r="AV102" s="24">
        <f>AW102+AX102</f>
        <v>0</v>
      </c>
      <c r="AW102" s="24">
        <f>H102*AO102</f>
        <v>0</v>
      </c>
      <c r="AX102" s="24">
        <f>H102*AP102</f>
        <v>0</v>
      </c>
      <c r="AY102" s="30" t="s">
        <v>401</v>
      </c>
      <c r="AZ102" s="30" t="s">
        <v>88</v>
      </c>
      <c r="BA102" s="9" t="s">
        <v>441</v>
      </c>
      <c r="BC102" s="24">
        <f>AW102+AX102</f>
        <v>0</v>
      </c>
      <c r="BD102" s="24">
        <f>I102/(100-BE102)*100</f>
        <v>0</v>
      </c>
      <c r="BE102" s="24">
        <v>0</v>
      </c>
      <c r="BF102" s="24">
        <f>102</f>
        <v>102</v>
      </c>
      <c r="BH102" s="24">
        <f>H102*AO102</f>
        <v>0</v>
      </c>
      <c r="BI102" s="24">
        <f>H102*AP102</f>
        <v>0</v>
      </c>
      <c r="BJ102" s="24">
        <f>H102*I102</f>
        <v>0</v>
      </c>
      <c r="BK102" s="24"/>
      <c r="BL102" s="24">
        <v>27</v>
      </c>
    </row>
    <row r="103" spans="1:64" ht="15" customHeight="1">
      <c r="A103" s="10"/>
      <c r="C103" s="34" t="s">
        <v>267</v>
      </c>
      <c r="F103" s="34" t="s">
        <v>405</v>
      </c>
      <c r="H103" s="3">
        <v>1.8135000000000001</v>
      </c>
      <c r="M103" s="12"/>
    </row>
    <row r="104" spans="1:64" ht="15" customHeight="1">
      <c r="A104" s="39" t="s">
        <v>336</v>
      </c>
      <c r="B104" s="8" t="s">
        <v>524</v>
      </c>
      <c r="C104" s="55" t="s">
        <v>495</v>
      </c>
      <c r="D104" s="55"/>
      <c r="E104" s="55"/>
      <c r="F104" s="55"/>
      <c r="G104" s="8" t="s">
        <v>556</v>
      </c>
      <c r="H104" s="24">
        <v>2.1</v>
      </c>
      <c r="I104" s="24">
        <v>0</v>
      </c>
      <c r="J104" s="24">
        <f>H104*AO104</f>
        <v>0</v>
      </c>
      <c r="K104" s="24">
        <f>H104*AP104</f>
        <v>0</v>
      </c>
      <c r="L104" s="24">
        <f>H104*I104</f>
        <v>0</v>
      </c>
      <c r="M104" s="47" t="s">
        <v>399</v>
      </c>
      <c r="Z104" s="24">
        <f>IF(AQ104="5",BJ104,0)</f>
        <v>0</v>
      </c>
      <c r="AB104" s="24">
        <f>IF(AQ104="1",BH104,0)</f>
        <v>0</v>
      </c>
      <c r="AC104" s="24">
        <f>IF(AQ104="1",BI104,0)</f>
        <v>0</v>
      </c>
      <c r="AD104" s="24">
        <f>IF(AQ104="7",BH104,0)</f>
        <v>0</v>
      </c>
      <c r="AE104" s="24">
        <f>IF(AQ104="7",BI104,0)</f>
        <v>0</v>
      </c>
      <c r="AF104" s="24">
        <f>IF(AQ104="2",BH104,0)</f>
        <v>0</v>
      </c>
      <c r="AG104" s="24">
        <f>IF(AQ104="2",BI104,0)</f>
        <v>0</v>
      </c>
      <c r="AH104" s="24">
        <f>IF(AQ104="0",BJ104,0)</f>
        <v>0</v>
      </c>
      <c r="AI104" s="9" t="s">
        <v>405</v>
      </c>
      <c r="AJ104" s="24">
        <f>IF(AN104=0,L104,0)</f>
        <v>0</v>
      </c>
      <c r="AK104" s="24">
        <f>IF(AN104=15,L104,0)</f>
        <v>0</v>
      </c>
      <c r="AL104" s="24">
        <f>IF(AN104=21,L104,0)</f>
        <v>0</v>
      </c>
      <c r="AN104" s="24">
        <v>21</v>
      </c>
      <c r="AO104" s="24">
        <f>I104*0.256722338204593</f>
        <v>0</v>
      </c>
      <c r="AP104" s="24">
        <f>I104*(1-0.256722338204593)</f>
        <v>0</v>
      </c>
      <c r="AQ104" s="30" t="s">
        <v>563</v>
      </c>
      <c r="AV104" s="24">
        <f>AW104+AX104</f>
        <v>0</v>
      </c>
      <c r="AW104" s="24">
        <f>H104*AO104</f>
        <v>0</v>
      </c>
      <c r="AX104" s="24">
        <f>H104*AP104</f>
        <v>0</v>
      </c>
      <c r="AY104" s="30" t="s">
        <v>401</v>
      </c>
      <c r="AZ104" s="30" t="s">
        <v>88</v>
      </c>
      <c r="BA104" s="9" t="s">
        <v>441</v>
      </c>
      <c r="BC104" s="24">
        <f>AW104+AX104</f>
        <v>0</v>
      </c>
      <c r="BD104" s="24">
        <f>I104/(100-BE104)*100</f>
        <v>0</v>
      </c>
      <c r="BE104" s="24">
        <v>0</v>
      </c>
      <c r="BF104" s="24">
        <f>104</f>
        <v>104</v>
      </c>
      <c r="BH104" s="24">
        <f>H104*AO104</f>
        <v>0</v>
      </c>
      <c r="BI104" s="24">
        <f>H104*AP104</f>
        <v>0</v>
      </c>
      <c r="BJ104" s="24">
        <f>H104*I104</f>
        <v>0</v>
      </c>
      <c r="BK104" s="24"/>
      <c r="BL104" s="24">
        <v>27</v>
      </c>
    </row>
    <row r="105" spans="1:64" ht="15" customHeight="1">
      <c r="A105" s="10"/>
      <c r="C105" s="34" t="s">
        <v>431</v>
      </c>
      <c r="F105" s="34" t="s">
        <v>405</v>
      </c>
      <c r="H105" s="3">
        <v>2.1</v>
      </c>
      <c r="M105" s="12"/>
    </row>
    <row r="106" spans="1:64" ht="15" customHeight="1">
      <c r="A106" s="39" t="s">
        <v>554</v>
      </c>
      <c r="B106" s="8" t="s">
        <v>159</v>
      </c>
      <c r="C106" s="55" t="s">
        <v>421</v>
      </c>
      <c r="D106" s="55"/>
      <c r="E106" s="55"/>
      <c r="F106" s="55"/>
      <c r="G106" s="8" t="s">
        <v>556</v>
      </c>
      <c r="H106" s="24">
        <v>2.1</v>
      </c>
      <c r="I106" s="24">
        <v>0</v>
      </c>
      <c r="J106" s="24">
        <f>H106*AO106</f>
        <v>0</v>
      </c>
      <c r="K106" s="24">
        <f>H106*AP106</f>
        <v>0</v>
      </c>
      <c r="L106" s="24">
        <f>H106*I106</f>
        <v>0</v>
      </c>
      <c r="M106" s="47" t="s">
        <v>399</v>
      </c>
      <c r="Z106" s="24">
        <f>IF(AQ106="5",BJ106,0)</f>
        <v>0</v>
      </c>
      <c r="AB106" s="24">
        <f>IF(AQ106="1",BH106,0)</f>
        <v>0</v>
      </c>
      <c r="AC106" s="24">
        <f>IF(AQ106="1",BI106,0)</f>
        <v>0</v>
      </c>
      <c r="AD106" s="24">
        <f>IF(AQ106="7",BH106,0)</f>
        <v>0</v>
      </c>
      <c r="AE106" s="24">
        <f>IF(AQ106="7",BI106,0)</f>
        <v>0</v>
      </c>
      <c r="AF106" s="24">
        <f>IF(AQ106="2",BH106,0)</f>
        <v>0</v>
      </c>
      <c r="AG106" s="24">
        <f>IF(AQ106="2",BI106,0)</f>
        <v>0</v>
      </c>
      <c r="AH106" s="24">
        <f>IF(AQ106="0",BJ106,0)</f>
        <v>0</v>
      </c>
      <c r="AI106" s="9" t="s">
        <v>405</v>
      </c>
      <c r="AJ106" s="24">
        <f>IF(AN106=0,L106,0)</f>
        <v>0</v>
      </c>
      <c r="AK106" s="24">
        <f>IF(AN106=15,L106,0)</f>
        <v>0</v>
      </c>
      <c r="AL106" s="24">
        <f>IF(AN106=21,L106,0)</f>
        <v>0</v>
      </c>
      <c r="AN106" s="24">
        <v>21</v>
      </c>
      <c r="AO106" s="24">
        <f>I106*0</f>
        <v>0</v>
      </c>
      <c r="AP106" s="24">
        <f>I106*(1-0)</f>
        <v>0</v>
      </c>
      <c r="AQ106" s="30" t="s">
        <v>563</v>
      </c>
      <c r="AV106" s="24">
        <f>AW106+AX106</f>
        <v>0</v>
      </c>
      <c r="AW106" s="24">
        <f>H106*AO106</f>
        <v>0</v>
      </c>
      <c r="AX106" s="24">
        <f>H106*AP106</f>
        <v>0</v>
      </c>
      <c r="AY106" s="30" t="s">
        <v>401</v>
      </c>
      <c r="AZ106" s="30" t="s">
        <v>88</v>
      </c>
      <c r="BA106" s="9" t="s">
        <v>441</v>
      </c>
      <c r="BC106" s="24">
        <f>AW106+AX106</f>
        <v>0</v>
      </c>
      <c r="BD106" s="24">
        <f>I106/(100-BE106)*100</f>
        <v>0</v>
      </c>
      <c r="BE106" s="24">
        <v>0</v>
      </c>
      <c r="BF106" s="24">
        <f>106</f>
        <v>106</v>
      </c>
      <c r="BH106" s="24">
        <f>H106*AO106</f>
        <v>0</v>
      </c>
      <c r="BI106" s="24">
        <f>H106*AP106</f>
        <v>0</v>
      </c>
      <c r="BJ106" s="24">
        <f>H106*I106</f>
        <v>0</v>
      </c>
      <c r="BK106" s="24"/>
      <c r="BL106" s="24">
        <v>27</v>
      </c>
    </row>
    <row r="107" spans="1:64" ht="15" customHeight="1">
      <c r="A107" s="10"/>
      <c r="C107" s="34" t="s">
        <v>463</v>
      </c>
      <c r="F107" s="34" t="s">
        <v>405</v>
      </c>
      <c r="H107" s="3">
        <v>2.1</v>
      </c>
      <c r="M107" s="12"/>
    </row>
    <row r="108" spans="1:64" ht="15" customHeight="1">
      <c r="A108" s="39" t="s">
        <v>346</v>
      </c>
      <c r="B108" s="8" t="s">
        <v>629</v>
      </c>
      <c r="C108" s="55" t="s">
        <v>111</v>
      </c>
      <c r="D108" s="55"/>
      <c r="E108" s="55"/>
      <c r="F108" s="55"/>
      <c r="G108" s="8" t="s">
        <v>269</v>
      </c>
      <c r="H108" s="24">
        <v>9.672E-2</v>
      </c>
      <c r="I108" s="24">
        <v>0</v>
      </c>
      <c r="J108" s="24">
        <f>H108*AO108</f>
        <v>0</v>
      </c>
      <c r="K108" s="24">
        <f>H108*AP108</f>
        <v>0</v>
      </c>
      <c r="L108" s="24">
        <f>H108*I108</f>
        <v>0</v>
      </c>
      <c r="M108" s="47" t="s">
        <v>399</v>
      </c>
      <c r="Z108" s="24">
        <f>IF(AQ108="5",BJ108,0)</f>
        <v>0</v>
      </c>
      <c r="AB108" s="24">
        <f>IF(AQ108="1",BH108,0)</f>
        <v>0</v>
      </c>
      <c r="AC108" s="24">
        <f>IF(AQ108="1",BI108,0)</f>
        <v>0</v>
      </c>
      <c r="AD108" s="24">
        <f>IF(AQ108="7",BH108,0)</f>
        <v>0</v>
      </c>
      <c r="AE108" s="24">
        <f>IF(AQ108="7",BI108,0)</f>
        <v>0</v>
      </c>
      <c r="AF108" s="24">
        <f>IF(AQ108="2",BH108,0)</f>
        <v>0</v>
      </c>
      <c r="AG108" s="24">
        <f>IF(AQ108="2",BI108,0)</f>
        <v>0</v>
      </c>
      <c r="AH108" s="24">
        <f>IF(AQ108="0",BJ108,0)</f>
        <v>0</v>
      </c>
      <c r="AI108" s="9" t="s">
        <v>405</v>
      </c>
      <c r="AJ108" s="24">
        <f>IF(AN108=0,L108,0)</f>
        <v>0</v>
      </c>
      <c r="AK108" s="24">
        <f>IF(AN108=15,L108,0)</f>
        <v>0</v>
      </c>
      <c r="AL108" s="24">
        <f>IF(AN108=21,L108,0)</f>
        <v>0</v>
      </c>
      <c r="AN108" s="24">
        <v>21</v>
      </c>
      <c r="AO108" s="24">
        <f>I108*0.838282762948686</f>
        <v>0</v>
      </c>
      <c r="AP108" s="24">
        <f>I108*(1-0.838282762948686)</f>
        <v>0</v>
      </c>
      <c r="AQ108" s="30" t="s">
        <v>563</v>
      </c>
      <c r="AV108" s="24">
        <f>AW108+AX108</f>
        <v>0</v>
      </c>
      <c r="AW108" s="24">
        <f>H108*AO108</f>
        <v>0</v>
      </c>
      <c r="AX108" s="24">
        <f>H108*AP108</f>
        <v>0</v>
      </c>
      <c r="AY108" s="30" t="s">
        <v>401</v>
      </c>
      <c r="AZ108" s="30" t="s">
        <v>88</v>
      </c>
      <c r="BA108" s="9" t="s">
        <v>441</v>
      </c>
      <c r="BC108" s="24">
        <f>AW108+AX108</f>
        <v>0</v>
      </c>
      <c r="BD108" s="24">
        <f>I108/(100-BE108)*100</f>
        <v>0</v>
      </c>
      <c r="BE108" s="24">
        <v>0</v>
      </c>
      <c r="BF108" s="24">
        <f>108</f>
        <v>108</v>
      </c>
      <c r="BH108" s="24">
        <f>H108*AO108</f>
        <v>0</v>
      </c>
      <c r="BI108" s="24">
        <f>H108*AP108</f>
        <v>0</v>
      </c>
      <c r="BJ108" s="24">
        <f>H108*I108</f>
        <v>0</v>
      </c>
      <c r="BK108" s="24"/>
      <c r="BL108" s="24">
        <v>27</v>
      </c>
    </row>
    <row r="109" spans="1:64" ht="15" customHeight="1">
      <c r="A109" s="10"/>
      <c r="C109" s="34" t="s">
        <v>174</v>
      </c>
      <c r="F109" s="34" t="s">
        <v>405</v>
      </c>
      <c r="H109" s="3">
        <v>9.6720000000000014E-2</v>
      </c>
      <c r="M109" s="12"/>
    </row>
    <row r="110" spans="1:64" ht="15" customHeight="1">
      <c r="A110" s="19" t="s">
        <v>405</v>
      </c>
      <c r="B110" s="26" t="s">
        <v>108</v>
      </c>
      <c r="C110" s="70" t="s">
        <v>153</v>
      </c>
      <c r="D110" s="70"/>
      <c r="E110" s="70"/>
      <c r="F110" s="70"/>
      <c r="G110" s="11" t="s">
        <v>529</v>
      </c>
      <c r="H110" s="11" t="s">
        <v>529</v>
      </c>
      <c r="I110" s="11" t="s">
        <v>529</v>
      </c>
      <c r="J110" s="31">
        <f>SUM(J111:J113)</f>
        <v>0</v>
      </c>
      <c r="K110" s="31">
        <f>SUM(K111:K113)</f>
        <v>0</v>
      </c>
      <c r="L110" s="31">
        <f>SUM(L111:L113)</f>
        <v>0</v>
      </c>
      <c r="M110" s="35" t="s">
        <v>405</v>
      </c>
      <c r="AI110" s="9" t="s">
        <v>405</v>
      </c>
      <c r="AS110" s="31">
        <f>SUM(AJ111:AJ113)</f>
        <v>0</v>
      </c>
      <c r="AT110" s="31">
        <f>SUM(AK111:AK113)</f>
        <v>0</v>
      </c>
      <c r="AU110" s="31">
        <f>SUM(AL111:AL113)</f>
        <v>0</v>
      </c>
    </row>
    <row r="111" spans="1:64" ht="15" customHeight="1">
      <c r="A111" s="39" t="s">
        <v>371</v>
      </c>
      <c r="B111" s="8" t="s">
        <v>278</v>
      </c>
      <c r="C111" s="55" t="s">
        <v>562</v>
      </c>
      <c r="D111" s="55"/>
      <c r="E111" s="55"/>
      <c r="F111" s="55"/>
      <c r="G111" s="8" t="s">
        <v>143</v>
      </c>
      <c r="H111" s="24">
        <v>1</v>
      </c>
      <c r="I111" s="24">
        <v>0</v>
      </c>
      <c r="J111" s="24">
        <f>H111*AO111</f>
        <v>0</v>
      </c>
      <c r="K111" s="24">
        <f>H111*AP111</f>
        <v>0</v>
      </c>
      <c r="L111" s="24">
        <f>H111*I111</f>
        <v>0</v>
      </c>
      <c r="M111" s="47" t="s">
        <v>405</v>
      </c>
      <c r="Z111" s="24">
        <f>IF(AQ111="5",BJ111,0)</f>
        <v>0</v>
      </c>
      <c r="AB111" s="24">
        <f>IF(AQ111="1",BH111,0)</f>
        <v>0</v>
      </c>
      <c r="AC111" s="24">
        <f>IF(AQ111="1",BI111,0)</f>
        <v>0</v>
      </c>
      <c r="AD111" s="24">
        <f>IF(AQ111="7",BH111,0)</f>
        <v>0</v>
      </c>
      <c r="AE111" s="24">
        <f>IF(AQ111="7",BI111,0)</f>
        <v>0</v>
      </c>
      <c r="AF111" s="24">
        <f>IF(AQ111="2",BH111,0)</f>
        <v>0</v>
      </c>
      <c r="AG111" s="24">
        <f>IF(AQ111="2",BI111,0)</f>
        <v>0</v>
      </c>
      <c r="AH111" s="24">
        <f>IF(AQ111="0",BJ111,0)</f>
        <v>0</v>
      </c>
      <c r="AI111" s="9" t="s">
        <v>405</v>
      </c>
      <c r="AJ111" s="24">
        <f>IF(AN111=0,L111,0)</f>
        <v>0</v>
      </c>
      <c r="AK111" s="24">
        <f>IF(AN111=15,L111,0)</f>
        <v>0</v>
      </c>
      <c r="AL111" s="24">
        <f>IF(AN111=21,L111,0)</f>
        <v>0</v>
      </c>
      <c r="AN111" s="24">
        <v>21</v>
      </c>
      <c r="AO111" s="24">
        <f>I111*0.333333333333333</f>
        <v>0</v>
      </c>
      <c r="AP111" s="24">
        <f>I111*(1-0.333333333333333)</f>
        <v>0</v>
      </c>
      <c r="AQ111" s="30" t="s">
        <v>563</v>
      </c>
      <c r="AV111" s="24">
        <f>AW111+AX111</f>
        <v>0</v>
      </c>
      <c r="AW111" s="24">
        <f>H111*AO111</f>
        <v>0</v>
      </c>
      <c r="AX111" s="24">
        <f>H111*AP111</f>
        <v>0</v>
      </c>
      <c r="AY111" s="30" t="s">
        <v>257</v>
      </c>
      <c r="AZ111" s="30" t="s">
        <v>33</v>
      </c>
      <c r="BA111" s="9" t="s">
        <v>441</v>
      </c>
      <c r="BC111" s="24">
        <f>AW111+AX111</f>
        <v>0</v>
      </c>
      <c r="BD111" s="24">
        <f>I111/(100-BE111)*100</f>
        <v>0</v>
      </c>
      <c r="BE111" s="24">
        <v>0</v>
      </c>
      <c r="BF111" s="24">
        <f>111</f>
        <v>111</v>
      </c>
      <c r="BH111" s="24">
        <f>H111*AO111</f>
        <v>0</v>
      </c>
      <c r="BI111" s="24">
        <f>H111*AP111</f>
        <v>0</v>
      </c>
      <c r="BJ111" s="24">
        <f>H111*I111</f>
        <v>0</v>
      </c>
      <c r="BK111" s="24"/>
      <c r="BL111" s="24">
        <v>343</v>
      </c>
    </row>
    <row r="112" spans="1:64" ht="15" customHeight="1">
      <c r="A112" s="10"/>
      <c r="C112" s="34" t="s">
        <v>197</v>
      </c>
      <c r="F112" s="34" t="s">
        <v>405</v>
      </c>
      <c r="H112" s="3">
        <v>1</v>
      </c>
      <c r="M112" s="12"/>
    </row>
    <row r="113" spans="1:64" ht="15" customHeight="1">
      <c r="A113" s="39" t="s">
        <v>202</v>
      </c>
      <c r="B113" s="8" t="s">
        <v>533</v>
      </c>
      <c r="C113" s="55" t="s">
        <v>292</v>
      </c>
      <c r="D113" s="55"/>
      <c r="E113" s="55"/>
      <c r="F113" s="55"/>
      <c r="G113" s="8" t="s">
        <v>143</v>
      </c>
      <c r="H113" s="24">
        <v>3</v>
      </c>
      <c r="I113" s="24">
        <v>0</v>
      </c>
      <c r="J113" s="24">
        <f>H113*AO113</f>
        <v>0</v>
      </c>
      <c r="K113" s="24">
        <f>H113*AP113</f>
        <v>0</v>
      </c>
      <c r="L113" s="24">
        <f>H113*I113</f>
        <v>0</v>
      </c>
      <c r="M113" s="47" t="s">
        <v>405</v>
      </c>
      <c r="Z113" s="24">
        <f>IF(AQ113="5",BJ113,0)</f>
        <v>0</v>
      </c>
      <c r="AB113" s="24">
        <f>IF(AQ113="1",BH113,0)</f>
        <v>0</v>
      </c>
      <c r="AC113" s="24">
        <f>IF(AQ113="1",BI113,0)</f>
        <v>0</v>
      </c>
      <c r="AD113" s="24">
        <f>IF(AQ113="7",BH113,0)</f>
        <v>0</v>
      </c>
      <c r="AE113" s="24">
        <f>IF(AQ113="7",BI113,0)</f>
        <v>0</v>
      </c>
      <c r="AF113" s="24">
        <f>IF(AQ113="2",BH113,0)</f>
        <v>0</v>
      </c>
      <c r="AG113" s="24">
        <f>IF(AQ113="2",BI113,0)</f>
        <v>0</v>
      </c>
      <c r="AH113" s="24">
        <f>IF(AQ113="0",BJ113,0)</f>
        <v>0</v>
      </c>
      <c r="AI113" s="9" t="s">
        <v>405</v>
      </c>
      <c r="AJ113" s="24">
        <f>IF(AN113=0,L113,0)</f>
        <v>0</v>
      </c>
      <c r="AK113" s="24">
        <f>IF(AN113=15,L113,0)</f>
        <v>0</v>
      </c>
      <c r="AL113" s="24">
        <f>IF(AN113=21,L113,0)</f>
        <v>0</v>
      </c>
      <c r="AN113" s="24">
        <v>21</v>
      </c>
      <c r="AO113" s="24">
        <f>I113*0.666666666666667</f>
        <v>0</v>
      </c>
      <c r="AP113" s="24">
        <f>I113*(1-0.666666666666667)</f>
        <v>0</v>
      </c>
      <c r="AQ113" s="30" t="s">
        <v>563</v>
      </c>
      <c r="AV113" s="24">
        <f>AW113+AX113</f>
        <v>0</v>
      </c>
      <c r="AW113" s="24">
        <f>H113*AO113</f>
        <v>0</v>
      </c>
      <c r="AX113" s="24">
        <f>H113*AP113</f>
        <v>0</v>
      </c>
      <c r="AY113" s="30" t="s">
        <v>257</v>
      </c>
      <c r="AZ113" s="30" t="s">
        <v>33</v>
      </c>
      <c r="BA113" s="9" t="s">
        <v>441</v>
      </c>
      <c r="BC113" s="24">
        <f>AW113+AX113</f>
        <v>0</v>
      </c>
      <c r="BD113" s="24">
        <f>I113/(100-BE113)*100</f>
        <v>0</v>
      </c>
      <c r="BE113" s="24">
        <v>0</v>
      </c>
      <c r="BF113" s="24">
        <f>113</f>
        <v>113</v>
      </c>
      <c r="BH113" s="24">
        <f>H113*AO113</f>
        <v>0</v>
      </c>
      <c r="BI113" s="24">
        <f>H113*AP113</f>
        <v>0</v>
      </c>
      <c r="BJ113" s="24">
        <f>H113*I113</f>
        <v>0</v>
      </c>
      <c r="BK113" s="24"/>
      <c r="BL113" s="24">
        <v>343</v>
      </c>
    </row>
    <row r="114" spans="1:64" ht="15" customHeight="1">
      <c r="A114" s="10"/>
      <c r="C114" s="34" t="s">
        <v>349</v>
      </c>
      <c r="F114" s="34" t="s">
        <v>405</v>
      </c>
      <c r="H114" s="3">
        <v>3.0000000000000004</v>
      </c>
      <c r="M114" s="12"/>
    </row>
    <row r="115" spans="1:64" ht="15" customHeight="1">
      <c r="A115" s="19" t="s">
        <v>405</v>
      </c>
      <c r="B115" s="26" t="s">
        <v>200</v>
      </c>
      <c r="C115" s="70" t="s">
        <v>445</v>
      </c>
      <c r="D115" s="70"/>
      <c r="E115" s="70"/>
      <c r="F115" s="70"/>
      <c r="G115" s="11" t="s">
        <v>529</v>
      </c>
      <c r="H115" s="11" t="s">
        <v>529</v>
      </c>
      <c r="I115" s="11" t="s">
        <v>529</v>
      </c>
      <c r="J115" s="31">
        <f>SUM(J116:J118)</f>
        <v>0</v>
      </c>
      <c r="K115" s="31">
        <f>SUM(K116:K118)</f>
        <v>0</v>
      </c>
      <c r="L115" s="31">
        <f>SUM(L116:L118)</f>
        <v>0</v>
      </c>
      <c r="M115" s="35" t="s">
        <v>405</v>
      </c>
      <c r="AI115" s="9" t="s">
        <v>405</v>
      </c>
      <c r="AS115" s="31">
        <f>SUM(AJ116:AJ118)</f>
        <v>0</v>
      </c>
      <c r="AT115" s="31">
        <f>SUM(AK116:AK118)</f>
        <v>0</v>
      </c>
      <c r="AU115" s="31">
        <f>SUM(AL116:AL118)</f>
        <v>0</v>
      </c>
    </row>
    <row r="116" spans="1:64" ht="15" customHeight="1">
      <c r="A116" s="39" t="s">
        <v>557</v>
      </c>
      <c r="B116" s="8" t="s">
        <v>415</v>
      </c>
      <c r="C116" s="55" t="s">
        <v>416</v>
      </c>
      <c r="D116" s="55"/>
      <c r="E116" s="55"/>
      <c r="F116" s="55"/>
      <c r="G116" s="8" t="s">
        <v>547</v>
      </c>
      <c r="H116" s="24">
        <v>20.684999999999999</v>
      </c>
      <c r="I116" s="24">
        <v>0</v>
      </c>
      <c r="J116" s="24">
        <f>H116*AO116</f>
        <v>0</v>
      </c>
      <c r="K116" s="24">
        <f>H116*AP116</f>
        <v>0</v>
      </c>
      <c r="L116" s="24">
        <f>H116*I116</f>
        <v>0</v>
      </c>
      <c r="M116" s="47" t="s">
        <v>399</v>
      </c>
      <c r="Z116" s="24">
        <f>IF(AQ116="5",BJ116,0)</f>
        <v>0</v>
      </c>
      <c r="AB116" s="24">
        <f>IF(AQ116="1",BH116,0)</f>
        <v>0</v>
      </c>
      <c r="AC116" s="24">
        <f>IF(AQ116="1",BI116,0)</f>
        <v>0</v>
      </c>
      <c r="AD116" s="24">
        <f>IF(AQ116="7",BH116,0)</f>
        <v>0</v>
      </c>
      <c r="AE116" s="24">
        <f>IF(AQ116="7",BI116,0)</f>
        <v>0</v>
      </c>
      <c r="AF116" s="24">
        <f>IF(AQ116="2",BH116,0)</f>
        <v>0</v>
      </c>
      <c r="AG116" s="24">
        <f>IF(AQ116="2",BI116,0)</f>
        <v>0</v>
      </c>
      <c r="AH116" s="24">
        <f>IF(AQ116="0",BJ116,0)</f>
        <v>0</v>
      </c>
      <c r="AI116" s="9" t="s">
        <v>405</v>
      </c>
      <c r="AJ116" s="24">
        <f>IF(AN116=0,L116,0)</f>
        <v>0</v>
      </c>
      <c r="AK116" s="24">
        <f>IF(AN116=15,L116,0)</f>
        <v>0</v>
      </c>
      <c r="AL116" s="24">
        <f>IF(AN116=21,L116,0)</f>
        <v>0</v>
      </c>
      <c r="AN116" s="24">
        <v>21</v>
      </c>
      <c r="AO116" s="24">
        <f>I116*0.480904558404558</f>
        <v>0</v>
      </c>
      <c r="AP116" s="24">
        <f>I116*(1-0.480904558404558)</f>
        <v>0</v>
      </c>
      <c r="AQ116" s="30" t="s">
        <v>563</v>
      </c>
      <c r="AV116" s="24">
        <f>AW116+AX116</f>
        <v>0</v>
      </c>
      <c r="AW116" s="24">
        <f>H116*AO116</f>
        <v>0</v>
      </c>
      <c r="AX116" s="24">
        <f>H116*AP116</f>
        <v>0</v>
      </c>
      <c r="AY116" s="30" t="s">
        <v>282</v>
      </c>
      <c r="AZ116" s="30" t="s">
        <v>475</v>
      </c>
      <c r="BA116" s="9" t="s">
        <v>441</v>
      </c>
      <c r="BC116" s="24">
        <f>AW116+AX116</f>
        <v>0</v>
      </c>
      <c r="BD116" s="24">
        <f>I116/(100-BE116)*100</f>
        <v>0</v>
      </c>
      <c r="BE116" s="24">
        <v>0</v>
      </c>
      <c r="BF116" s="24">
        <f>116</f>
        <v>116</v>
      </c>
      <c r="BH116" s="24">
        <f>H116*AO116</f>
        <v>0</v>
      </c>
      <c r="BI116" s="24">
        <f>H116*AP116</f>
        <v>0</v>
      </c>
      <c r="BJ116" s="24">
        <f>H116*I116</f>
        <v>0</v>
      </c>
      <c r="BK116" s="24"/>
      <c r="BL116" s="24">
        <v>45</v>
      </c>
    </row>
    <row r="117" spans="1:64" ht="15" customHeight="1">
      <c r="A117" s="10"/>
      <c r="C117" s="34" t="s">
        <v>24</v>
      </c>
      <c r="F117" s="34" t="s">
        <v>405</v>
      </c>
      <c r="H117" s="3">
        <v>20.685000000000002</v>
      </c>
      <c r="M117" s="12"/>
    </row>
    <row r="118" spans="1:64" ht="15" customHeight="1">
      <c r="A118" s="39" t="s">
        <v>110</v>
      </c>
      <c r="B118" s="8" t="s">
        <v>55</v>
      </c>
      <c r="C118" s="55" t="s">
        <v>105</v>
      </c>
      <c r="D118" s="55"/>
      <c r="E118" s="55"/>
      <c r="F118" s="55"/>
      <c r="G118" s="8" t="s">
        <v>547</v>
      </c>
      <c r="H118" s="24">
        <v>20.684999999999999</v>
      </c>
      <c r="I118" s="24">
        <v>0</v>
      </c>
      <c r="J118" s="24">
        <f>H118*AO118</f>
        <v>0</v>
      </c>
      <c r="K118" s="24">
        <f>H118*AP118</f>
        <v>0</v>
      </c>
      <c r="L118" s="24">
        <f>H118*I118</f>
        <v>0</v>
      </c>
      <c r="M118" s="47" t="s">
        <v>399</v>
      </c>
      <c r="Z118" s="24">
        <f>IF(AQ118="5",BJ118,0)</f>
        <v>0</v>
      </c>
      <c r="AB118" s="24">
        <f>IF(AQ118="1",BH118,0)</f>
        <v>0</v>
      </c>
      <c r="AC118" s="24">
        <f>IF(AQ118="1",BI118,0)</f>
        <v>0</v>
      </c>
      <c r="AD118" s="24">
        <f>IF(AQ118="7",BH118,0)</f>
        <v>0</v>
      </c>
      <c r="AE118" s="24">
        <f>IF(AQ118="7",BI118,0)</f>
        <v>0</v>
      </c>
      <c r="AF118" s="24">
        <f>IF(AQ118="2",BH118,0)</f>
        <v>0</v>
      </c>
      <c r="AG118" s="24">
        <f>IF(AQ118="2",BI118,0)</f>
        <v>0</v>
      </c>
      <c r="AH118" s="24">
        <f>IF(AQ118="0",BJ118,0)</f>
        <v>0</v>
      </c>
      <c r="AI118" s="9" t="s">
        <v>405</v>
      </c>
      <c r="AJ118" s="24">
        <f>IF(AN118=0,L118,0)</f>
        <v>0</v>
      </c>
      <c r="AK118" s="24">
        <f>IF(AN118=15,L118,0)</f>
        <v>0</v>
      </c>
      <c r="AL118" s="24">
        <f>IF(AN118=21,L118,0)</f>
        <v>0</v>
      </c>
      <c r="AN118" s="24">
        <v>21</v>
      </c>
      <c r="AO118" s="24">
        <f>I118*0</f>
        <v>0</v>
      </c>
      <c r="AP118" s="24">
        <f>I118*(1-0)</f>
        <v>0</v>
      </c>
      <c r="AQ118" s="30" t="s">
        <v>402</v>
      </c>
      <c r="AV118" s="24">
        <f>AW118+AX118</f>
        <v>0</v>
      </c>
      <c r="AW118" s="24">
        <f>H118*AO118</f>
        <v>0</v>
      </c>
      <c r="AX118" s="24">
        <f>H118*AP118</f>
        <v>0</v>
      </c>
      <c r="AY118" s="30" t="s">
        <v>282</v>
      </c>
      <c r="AZ118" s="30" t="s">
        <v>475</v>
      </c>
      <c r="BA118" s="9" t="s">
        <v>441</v>
      </c>
      <c r="BC118" s="24">
        <f>AW118+AX118</f>
        <v>0</v>
      </c>
      <c r="BD118" s="24">
        <f>I118/(100-BE118)*100</f>
        <v>0</v>
      </c>
      <c r="BE118" s="24">
        <v>0</v>
      </c>
      <c r="BF118" s="24">
        <f>118</f>
        <v>118</v>
      </c>
      <c r="BH118" s="24">
        <f>H118*AO118</f>
        <v>0</v>
      </c>
      <c r="BI118" s="24">
        <f>H118*AP118</f>
        <v>0</v>
      </c>
      <c r="BJ118" s="24">
        <f>H118*I118</f>
        <v>0</v>
      </c>
      <c r="BK118" s="24"/>
      <c r="BL118" s="24">
        <v>45</v>
      </c>
    </row>
    <row r="119" spans="1:64" ht="15" customHeight="1">
      <c r="A119" s="10"/>
      <c r="C119" s="34" t="s">
        <v>179</v>
      </c>
      <c r="F119" s="34" t="s">
        <v>405</v>
      </c>
      <c r="H119" s="3">
        <v>20.685000000000002</v>
      </c>
      <c r="M119" s="12"/>
    </row>
    <row r="120" spans="1:64" ht="15" customHeight="1">
      <c r="A120" s="19" t="s">
        <v>405</v>
      </c>
      <c r="B120" s="26" t="s">
        <v>266</v>
      </c>
      <c r="C120" s="70" t="s">
        <v>535</v>
      </c>
      <c r="D120" s="70"/>
      <c r="E120" s="70"/>
      <c r="F120" s="70"/>
      <c r="G120" s="11" t="s">
        <v>529</v>
      </c>
      <c r="H120" s="11" t="s">
        <v>529</v>
      </c>
      <c r="I120" s="11" t="s">
        <v>529</v>
      </c>
      <c r="J120" s="31">
        <f>SUM(J121:J121)</f>
        <v>0</v>
      </c>
      <c r="K120" s="31">
        <f>SUM(K121:K121)</f>
        <v>0</v>
      </c>
      <c r="L120" s="31">
        <f>SUM(L121:L121)</f>
        <v>0</v>
      </c>
      <c r="M120" s="35" t="s">
        <v>405</v>
      </c>
      <c r="AI120" s="9" t="s">
        <v>405</v>
      </c>
      <c r="AS120" s="31">
        <f>SUM(AJ121:AJ121)</f>
        <v>0</v>
      </c>
      <c r="AT120" s="31">
        <f>SUM(AK121:AK121)</f>
        <v>0</v>
      </c>
      <c r="AU120" s="31">
        <f>SUM(AL121:AL121)</f>
        <v>0</v>
      </c>
    </row>
    <row r="121" spans="1:64" ht="15" customHeight="1">
      <c r="A121" s="39" t="s">
        <v>188</v>
      </c>
      <c r="B121" s="8" t="s">
        <v>229</v>
      </c>
      <c r="C121" s="55" t="s">
        <v>383</v>
      </c>
      <c r="D121" s="55"/>
      <c r="E121" s="55"/>
      <c r="F121" s="55"/>
      <c r="G121" s="8" t="s">
        <v>556</v>
      </c>
      <c r="H121" s="24">
        <v>5</v>
      </c>
      <c r="I121" s="24">
        <v>0</v>
      </c>
      <c r="J121" s="24">
        <f>H121*AO121</f>
        <v>0</v>
      </c>
      <c r="K121" s="24">
        <f>H121*AP121</f>
        <v>0</v>
      </c>
      <c r="L121" s="24">
        <f>H121*I121</f>
        <v>0</v>
      </c>
      <c r="M121" s="47" t="s">
        <v>399</v>
      </c>
      <c r="Z121" s="24">
        <f>IF(AQ121="5",BJ121,0)</f>
        <v>0</v>
      </c>
      <c r="AB121" s="24">
        <f>IF(AQ121="1",BH121,0)</f>
        <v>0</v>
      </c>
      <c r="AC121" s="24">
        <f>IF(AQ121="1",BI121,0)</f>
        <v>0</v>
      </c>
      <c r="AD121" s="24">
        <f>IF(AQ121="7",BH121,0)</f>
        <v>0</v>
      </c>
      <c r="AE121" s="24">
        <f>IF(AQ121="7",BI121,0)</f>
        <v>0</v>
      </c>
      <c r="AF121" s="24">
        <f>IF(AQ121="2",BH121,0)</f>
        <v>0</v>
      </c>
      <c r="AG121" s="24">
        <f>IF(AQ121="2",BI121,0)</f>
        <v>0</v>
      </c>
      <c r="AH121" s="24">
        <f>IF(AQ121="0",BJ121,0)</f>
        <v>0</v>
      </c>
      <c r="AI121" s="9" t="s">
        <v>405</v>
      </c>
      <c r="AJ121" s="24">
        <f>IF(AN121=0,L121,0)</f>
        <v>0</v>
      </c>
      <c r="AK121" s="24">
        <f>IF(AN121=15,L121,0)</f>
        <v>0</v>
      </c>
      <c r="AL121" s="24">
        <f>IF(AN121=21,L121,0)</f>
        <v>0</v>
      </c>
      <c r="AN121" s="24">
        <v>21</v>
      </c>
      <c r="AO121" s="24">
        <f>I121*0.149452054794521</f>
        <v>0</v>
      </c>
      <c r="AP121" s="24">
        <f>I121*(1-0.149452054794521)</f>
        <v>0</v>
      </c>
      <c r="AQ121" s="30" t="s">
        <v>563</v>
      </c>
      <c r="AV121" s="24">
        <f>AW121+AX121</f>
        <v>0</v>
      </c>
      <c r="AW121" s="24">
        <f>H121*AO121</f>
        <v>0</v>
      </c>
      <c r="AX121" s="24">
        <f>H121*AP121</f>
        <v>0</v>
      </c>
      <c r="AY121" s="30" t="s">
        <v>558</v>
      </c>
      <c r="AZ121" s="30" t="s">
        <v>344</v>
      </c>
      <c r="BA121" s="9" t="s">
        <v>441</v>
      </c>
      <c r="BC121" s="24">
        <f>AW121+AX121</f>
        <v>0</v>
      </c>
      <c r="BD121" s="24">
        <f>I121/(100-BE121)*100</f>
        <v>0</v>
      </c>
      <c r="BE121" s="24">
        <v>0</v>
      </c>
      <c r="BF121" s="24">
        <f>121</f>
        <v>121</v>
      </c>
      <c r="BH121" s="24">
        <f>H121*AO121</f>
        <v>0</v>
      </c>
      <c r="BI121" s="24">
        <f>H121*AP121</f>
        <v>0</v>
      </c>
      <c r="BJ121" s="24">
        <f>H121*I121</f>
        <v>0</v>
      </c>
      <c r="BK121" s="24"/>
      <c r="BL121" s="24">
        <v>59</v>
      </c>
    </row>
    <row r="122" spans="1:64" ht="15" customHeight="1">
      <c r="A122" s="10"/>
      <c r="C122" s="34" t="s">
        <v>311</v>
      </c>
      <c r="F122" s="34" t="s">
        <v>405</v>
      </c>
      <c r="H122" s="3">
        <v>5</v>
      </c>
      <c r="M122" s="12"/>
    </row>
    <row r="123" spans="1:64" ht="15" customHeight="1">
      <c r="A123" s="19" t="s">
        <v>405</v>
      </c>
      <c r="B123" s="26" t="s">
        <v>422</v>
      </c>
      <c r="C123" s="70" t="s">
        <v>418</v>
      </c>
      <c r="D123" s="70"/>
      <c r="E123" s="70"/>
      <c r="F123" s="70"/>
      <c r="G123" s="11" t="s">
        <v>529</v>
      </c>
      <c r="H123" s="11" t="s">
        <v>529</v>
      </c>
      <c r="I123" s="11" t="s">
        <v>529</v>
      </c>
      <c r="J123" s="31">
        <f>SUM(J124:J128)</f>
        <v>0</v>
      </c>
      <c r="K123" s="31">
        <f>SUM(K124:K128)</f>
        <v>0</v>
      </c>
      <c r="L123" s="31">
        <f>SUM(L124:L128)</f>
        <v>0</v>
      </c>
      <c r="M123" s="35" t="s">
        <v>405</v>
      </c>
      <c r="AI123" s="9" t="s">
        <v>405</v>
      </c>
      <c r="AS123" s="31">
        <f>SUM(AJ124:AJ128)</f>
        <v>0</v>
      </c>
      <c r="AT123" s="31">
        <f>SUM(AK124:AK128)</f>
        <v>0</v>
      </c>
      <c r="AU123" s="31">
        <f>SUM(AL124:AL128)</f>
        <v>0</v>
      </c>
    </row>
    <row r="124" spans="1:64" ht="15" customHeight="1">
      <c r="A124" s="39" t="s">
        <v>252</v>
      </c>
      <c r="B124" s="8" t="s">
        <v>525</v>
      </c>
      <c r="C124" s="55" t="s">
        <v>109</v>
      </c>
      <c r="D124" s="55"/>
      <c r="E124" s="55"/>
      <c r="F124" s="55"/>
      <c r="G124" s="8" t="s">
        <v>556</v>
      </c>
      <c r="H124" s="24">
        <v>29.594999999999999</v>
      </c>
      <c r="I124" s="24">
        <v>0</v>
      </c>
      <c r="J124" s="24">
        <f>H124*AO124</f>
        <v>0</v>
      </c>
      <c r="K124" s="24">
        <f>H124*AP124</f>
        <v>0</v>
      </c>
      <c r="L124" s="24">
        <f>H124*I124</f>
        <v>0</v>
      </c>
      <c r="M124" s="47" t="s">
        <v>399</v>
      </c>
      <c r="Z124" s="24">
        <f>IF(AQ124="5",BJ124,0)</f>
        <v>0</v>
      </c>
      <c r="AB124" s="24">
        <f>IF(AQ124="1",BH124,0)</f>
        <v>0</v>
      </c>
      <c r="AC124" s="24">
        <f>IF(AQ124="1",BI124,0)</f>
        <v>0</v>
      </c>
      <c r="AD124" s="24">
        <f>IF(AQ124="7",BH124,0)</f>
        <v>0</v>
      </c>
      <c r="AE124" s="24">
        <f>IF(AQ124="7",BI124,0)</f>
        <v>0</v>
      </c>
      <c r="AF124" s="24">
        <f>IF(AQ124="2",BH124,0)</f>
        <v>0</v>
      </c>
      <c r="AG124" s="24">
        <f>IF(AQ124="2",BI124,0)</f>
        <v>0</v>
      </c>
      <c r="AH124" s="24">
        <f>IF(AQ124="0",BJ124,0)</f>
        <v>0</v>
      </c>
      <c r="AI124" s="9" t="s">
        <v>405</v>
      </c>
      <c r="AJ124" s="24">
        <f>IF(AN124=0,L124,0)</f>
        <v>0</v>
      </c>
      <c r="AK124" s="24">
        <f>IF(AN124=15,L124,0)</f>
        <v>0</v>
      </c>
      <c r="AL124" s="24">
        <f>IF(AN124=21,L124,0)</f>
        <v>0</v>
      </c>
      <c r="AN124" s="24">
        <v>21</v>
      </c>
      <c r="AO124" s="24">
        <f>I124*0.0959677419354839</f>
        <v>0</v>
      </c>
      <c r="AP124" s="24">
        <f>I124*(1-0.0959677419354839)</f>
        <v>0</v>
      </c>
      <c r="AQ124" s="30" t="s">
        <v>563</v>
      </c>
      <c r="AV124" s="24">
        <f>AW124+AX124</f>
        <v>0</v>
      </c>
      <c r="AW124" s="24">
        <f>H124*AO124</f>
        <v>0</v>
      </c>
      <c r="AX124" s="24">
        <f>H124*AP124</f>
        <v>0</v>
      </c>
      <c r="AY124" s="30" t="s">
        <v>361</v>
      </c>
      <c r="AZ124" s="30" t="s">
        <v>77</v>
      </c>
      <c r="BA124" s="9" t="s">
        <v>441</v>
      </c>
      <c r="BC124" s="24">
        <f>AW124+AX124</f>
        <v>0</v>
      </c>
      <c r="BD124" s="24">
        <f>I124/(100-BE124)*100</f>
        <v>0</v>
      </c>
      <c r="BE124" s="24">
        <v>0</v>
      </c>
      <c r="BF124" s="24">
        <f>124</f>
        <v>124</v>
      </c>
      <c r="BH124" s="24">
        <f>H124*AO124</f>
        <v>0</v>
      </c>
      <c r="BI124" s="24">
        <f>H124*AP124</f>
        <v>0</v>
      </c>
      <c r="BJ124" s="24">
        <f>H124*I124</f>
        <v>0</v>
      </c>
      <c r="BK124" s="24"/>
      <c r="BL124" s="24">
        <v>61</v>
      </c>
    </row>
    <row r="125" spans="1:64" ht="15" customHeight="1">
      <c r="A125" s="10"/>
      <c r="C125" s="34" t="s">
        <v>605</v>
      </c>
      <c r="F125" s="34" t="s">
        <v>405</v>
      </c>
      <c r="H125" s="3">
        <v>10.797000000000001</v>
      </c>
      <c r="M125" s="12"/>
    </row>
    <row r="126" spans="1:64" ht="15" customHeight="1">
      <c r="A126" s="10"/>
      <c r="C126" s="34" t="s">
        <v>408</v>
      </c>
      <c r="F126" s="34" t="s">
        <v>405</v>
      </c>
      <c r="H126" s="3">
        <v>18.798000000000002</v>
      </c>
      <c r="M126" s="12"/>
    </row>
    <row r="127" spans="1:64" ht="15" customHeight="1">
      <c r="A127" s="10"/>
      <c r="C127" s="34" t="s">
        <v>335</v>
      </c>
      <c r="F127" s="34" t="s">
        <v>405</v>
      </c>
      <c r="H127" s="3">
        <v>0</v>
      </c>
      <c r="M127" s="12"/>
    </row>
    <row r="128" spans="1:64" ht="15" customHeight="1">
      <c r="A128" s="39" t="s">
        <v>200</v>
      </c>
      <c r="B128" s="8" t="s">
        <v>195</v>
      </c>
      <c r="C128" s="55" t="s">
        <v>37</v>
      </c>
      <c r="D128" s="55"/>
      <c r="E128" s="55"/>
      <c r="F128" s="55"/>
      <c r="G128" s="8" t="s">
        <v>556</v>
      </c>
      <c r="H128" s="24">
        <v>28.4</v>
      </c>
      <c r="I128" s="24">
        <v>0</v>
      </c>
      <c r="J128" s="24">
        <f>H128*AO128</f>
        <v>0</v>
      </c>
      <c r="K128" s="24">
        <f>H128*AP128</f>
        <v>0</v>
      </c>
      <c r="L128" s="24">
        <f>H128*I128</f>
        <v>0</v>
      </c>
      <c r="M128" s="47" t="s">
        <v>399</v>
      </c>
      <c r="Z128" s="24">
        <f>IF(AQ128="5",BJ128,0)</f>
        <v>0</v>
      </c>
      <c r="AB128" s="24">
        <f>IF(AQ128="1",BH128,0)</f>
        <v>0</v>
      </c>
      <c r="AC128" s="24">
        <f>IF(AQ128="1",BI128,0)</f>
        <v>0</v>
      </c>
      <c r="AD128" s="24">
        <f>IF(AQ128="7",BH128,0)</f>
        <v>0</v>
      </c>
      <c r="AE128" s="24">
        <f>IF(AQ128="7",BI128,0)</f>
        <v>0</v>
      </c>
      <c r="AF128" s="24">
        <f>IF(AQ128="2",BH128,0)</f>
        <v>0</v>
      </c>
      <c r="AG128" s="24">
        <f>IF(AQ128="2",BI128,0)</f>
        <v>0</v>
      </c>
      <c r="AH128" s="24">
        <f>IF(AQ128="0",BJ128,0)</f>
        <v>0</v>
      </c>
      <c r="AI128" s="9" t="s">
        <v>405</v>
      </c>
      <c r="AJ128" s="24">
        <f>IF(AN128=0,L128,0)</f>
        <v>0</v>
      </c>
      <c r="AK128" s="24">
        <f>IF(AN128=15,L128,0)</f>
        <v>0</v>
      </c>
      <c r="AL128" s="24">
        <f>IF(AN128=21,L128,0)</f>
        <v>0</v>
      </c>
      <c r="AN128" s="24">
        <v>21</v>
      </c>
      <c r="AO128" s="24">
        <f>I128*0.154122807017544</f>
        <v>0</v>
      </c>
      <c r="AP128" s="24">
        <f>I128*(1-0.154122807017544)</f>
        <v>0</v>
      </c>
      <c r="AQ128" s="30" t="s">
        <v>563</v>
      </c>
      <c r="AV128" s="24">
        <f>AW128+AX128</f>
        <v>0</v>
      </c>
      <c r="AW128" s="24">
        <f>H128*AO128</f>
        <v>0</v>
      </c>
      <c r="AX128" s="24">
        <f>H128*AP128</f>
        <v>0</v>
      </c>
      <c r="AY128" s="30" t="s">
        <v>361</v>
      </c>
      <c r="AZ128" s="30" t="s">
        <v>77</v>
      </c>
      <c r="BA128" s="9" t="s">
        <v>441</v>
      </c>
      <c r="BC128" s="24">
        <f>AW128+AX128</f>
        <v>0</v>
      </c>
      <c r="BD128" s="24">
        <f>I128/(100-BE128)*100</f>
        <v>0</v>
      </c>
      <c r="BE128" s="24">
        <v>0</v>
      </c>
      <c r="BF128" s="24">
        <f>128</f>
        <v>128</v>
      </c>
      <c r="BH128" s="24">
        <f>H128*AO128</f>
        <v>0</v>
      </c>
      <c r="BI128" s="24">
        <f>H128*AP128</f>
        <v>0</v>
      </c>
      <c r="BJ128" s="24">
        <f>H128*I128</f>
        <v>0</v>
      </c>
      <c r="BK128" s="24"/>
      <c r="BL128" s="24">
        <v>61</v>
      </c>
    </row>
    <row r="129" spans="1:64" ht="15" customHeight="1">
      <c r="A129" s="10"/>
      <c r="C129" s="34" t="s">
        <v>467</v>
      </c>
      <c r="F129" s="34" t="s">
        <v>405</v>
      </c>
      <c r="H129" s="3">
        <v>9.9</v>
      </c>
      <c r="M129" s="12"/>
    </row>
    <row r="130" spans="1:64" ht="15" customHeight="1">
      <c r="A130" s="10"/>
      <c r="C130" s="34" t="s">
        <v>543</v>
      </c>
      <c r="F130" s="34" t="s">
        <v>405</v>
      </c>
      <c r="H130" s="3">
        <v>18.5</v>
      </c>
      <c r="M130" s="12"/>
    </row>
    <row r="131" spans="1:64" ht="15" customHeight="1">
      <c r="A131" s="10"/>
      <c r="C131" s="34" t="s">
        <v>335</v>
      </c>
      <c r="F131" s="34" t="s">
        <v>405</v>
      </c>
      <c r="H131" s="3">
        <v>0</v>
      </c>
      <c r="M131" s="12"/>
    </row>
    <row r="132" spans="1:64" ht="15" customHeight="1">
      <c r="A132" s="19" t="s">
        <v>405</v>
      </c>
      <c r="B132" s="26" t="s">
        <v>628</v>
      </c>
      <c r="C132" s="70" t="s">
        <v>469</v>
      </c>
      <c r="D132" s="70"/>
      <c r="E132" s="70"/>
      <c r="F132" s="70"/>
      <c r="G132" s="11" t="s">
        <v>529</v>
      </c>
      <c r="H132" s="11" t="s">
        <v>529</v>
      </c>
      <c r="I132" s="11" t="s">
        <v>529</v>
      </c>
      <c r="J132" s="31">
        <f>SUM(J133:J133)</f>
        <v>0</v>
      </c>
      <c r="K132" s="31">
        <f>SUM(K133:K133)</f>
        <v>0</v>
      </c>
      <c r="L132" s="31">
        <f>SUM(L133:L133)</f>
        <v>0</v>
      </c>
      <c r="M132" s="35" t="s">
        <v>405</v>
      </c>
      <c r="AI132" s="9" t="s">
        <v>405</v>
      </c>
      <c r="AS132" s="31">
        <f>SUM(AJ133:AJ133)</f>
        <v>0</v>
      </c>
      <c r="AT132" s="31">
        <f>SUM(AK133:AK133)</f>
        <v>0</v>
      </c>
      <c r="AU132" s="31">
        <f>SUM(AL133:AL133)</f>
        <v>0</v>
      </c>
    </row>
    <row r="133" spans="1:64" ht="15" customHeight="1">
      <c r="A133" s="39" t="s">
        <v>464</v>
      </c>
      <c r="B133" s="8" t="s">
        <v>345</v>
      </c>
      <c r="C133" s="55" t="s">
        <v>474</v>
      </c>
      <c r="D133" s="55"/>
      <c r="E133" s="55"/>
      <c r="F133" s="55"/>
      <c r="G133" s="8" t="s">
        <v>556</v>
      </c>
      <c r="H133" s="24">
        <v>40.4983</v>
      </c>
      <c r="I133" s="24">
        <v>0</v>
      </c>
      <c r="J133" s="24">
        <f>H133*AO133</f>
        <v>0</v>
      </c>
      <c r="K133" s="24">
        <f>H133*AP133</f>
        <v>0</v>
      </c>
      <c r="L133" s="24">
        <f>H133*I133</f>
        <v>0</v>
      </c>
      <c r="M133" s="47" t="s">
        <v>399</v>
      </c>
      <c r="Z133" s="24">
        <f>IF(AQ133="5",BJ133,0)</f>
        <v>0</v>
      </c>
      <c r="AB133" s="24">
        <f>IF(AQ133="1",BH133,0)</f>
        <v>0</v>
      </c>
      <c r="AC133" s="24">
        <f>IF(AQ133="1",BI133,0)</f>
        <v>0</v>
      </c>
      <c r="AD133" s="24">
        <f>IF(AQ133="7",BH133,0)</f>
        <v>0</v>
      </c>
      <c r="AE133" s="24">
        <f>IF(AQ133="7",BI133,0)</f>
        <v>0</v>
      </c>
      <c r="AF133" s="24">
        <f>IF(AQ133="2",BH133,0)</f>
        <v>0</v>
      </c>
      <c r="AG133" s="24">
        <f>IF(AQ133="2",BI133,0)</f>
        <v>0</v>
      </c>
      <c r="AH133" s="24">
        <f>IF(AQ133="0",BJ133,0)</f>
        <v>0</v>
      </c>
      <c r="AI133" s="9" t="s">
        <v>405</v>
      </c>
      <c r="AJ133" s="24">
        <f>IF(AN133=0,L133,0)</f>
        <v>0</v>
      </c>
      <c r="AK133" s="24">
        <f>IF(AN133=15,L133,0)</f>
        <v>0</v>
      </c>
      <c r="AL133" s="24">
        <f>IF(AN133=21,L133,0)</f>
        <v>0</v>
      </c>
      <c r="AN133" s="24">
        <v>21</v>
      </c>
      <c r="AO133" s="24">
        <f>I133*0.239255662823843</f>
        <v>0</v>
      </c>
      <c r="AP133" s="24">
        <f>I133*(1-0.239255662823843)</f>
        <v>0</v>
      </c>
      <c r="AQ133" s="30" t="s">
        <v>563</v>
      </c>
      <c r="AV133" s="24">
        <f>AW133+AX133</f>
        <v>0</v>
      </c>
      <c r="AW133" s="24">
        <f>H133*AO133</f>
        <v>0</v>
      </c>
      <c r="AX133" s="24">
        <f>H133*AP133</f>
        <v>0</v>
      </c>
      <c r="AY133" s="30" t="s">
        <v>258</v>
      </c>
      <c r="AZ133" s="30" t="s">
        <v>77</v>
      </c>
      <c r="BA133" s="9" t="s">
        <v>441</v>
      </c>
      <c r="BC133" s="24">
        <f>AW133+AX133</f>
        <v>0</v>
      </c>
      <c r="BD133" s="24">
        <f>I133/(100-BE133)*100</f>
        <v>0</v>
      </c>
      <c r="BE133" s="24">
        <v>0</v>
      </c>
      <c r="BF133" s="24">
        <f>133</f>
        <v>133</v>
      </c>
      <c r="BH133" s="24">
        <f>H133*AO133</f>
        <v>0</v>
      </c>
      <c r="BI133" s="24">
        <f>H133*AP133</f>
        <v>0</v>
      </c>
      <c r="BJ133" s="24">
        <f>H133*I133</f>
        <v>0</v>
      </c>
      <c r="BK133" s="24"/>
      <c r="BL133" s="24">
        <v>62</v>
      </c>
    </row>
    <row r="134" spans="1:64" ht="15" customHeight="1">
      <c r="A134" s="10"/>
      <c r="C134" s="34" t="s">
        <v>595</v>
      </c>
      <c r="F134" s="34" t="s">
        <v>405</v>
      </c>
      <c r="H134" s="3">
        <v>40.4983</v>
      </c>
      <c r="M134" s="12"/>
    </row>
    <row r="135" spans="1:64" ht="15" customHeight="1">
      <c r="A135" s="19" t="s">
        <v>405</v>
      </c>
      <c r="B135" s="26" t="s">
        <v>36</v>
      </c>
      <c r="C135" s="70" t="s">
        <v>632</v>
      </c>
      <c r="D135" s="70"/>
      <c r="E135" s="70"/>
      <c r="F135" s="70"/>
      <c r="G135" s="11" t="s">
        <v>529</v>
      </c>
      <c r="H135" s="11" t="s">
        <v>529</v>
      </c>
      <c r="I135" s="11" t="s">
        <v>529</v>
      </c>
      <c r="J135" s="31">
        <f>SUM(J136:J136)</f>
        <v>0</v>
      </c>
      <c r="K135" s="31">
        <f>SUM(K136:K136)</f>
        <v>0</v>
      </c>
      <c r="L135" s="31">
        <f>SUM(L136:L136)</f>
        <v>0</v>
      </c>
      <c r="M135" s="35" t="s">
        <v>405</v>
      </c>
      <c r="AI135" s="9" t="s">
        <v>405</v>
      </c>
      <c r="AS135" s="31">
        <f>SUM(AJ136:AJ136)</f>
        <v>0</v>
      </c>
      <c r="AT135" s="31">
        <f>SUM(AK136:AK136)</f>
        <v>0</v>
      </c>
      <c r="AU135" s="31">
        <f>SUM(AL136:AL136)</f>
        <v>0</v>
      </c>
    </row>
    <row r="136" spans="1:64" ht="15" customHeight="1">
      <c r="A136" s="39" t="s">
        <v>582</v>
      </c>
      <c r="B136" s="8" t="s">
        <v>217</v>
      </c>
      <c r="C136" s="55" t="s">
        <v>536</v>
      </c>
      <c r="D136" s="55"/>
      <c r="E136" s="55"/>
      <c r="F136" s="55"/>
      <c r="G136" s="8" t="s">
        <v>556</v>
      </c>
      <c r="H136" s="24">
        <v>13.298999999999999</v>
      </c>
      <c r="I136" s="24">
        <v>0</v>
      </c>
      <c r="J136" s="24">
        <f>H136*AO136</f>
        <v>0</v>
      </c>
      <c r="K136" s="24">
        <f>H136*AP136</f>
        <v>0</v>
      </c>
      <c r="L136" s="24">
        <f>H136*I136</f>
        <v>0</v>
      </c>
      <c r="M136" s="47" t="s">
        <v>399</v>
      </c>
      <c r="Z136" s="24">
        <f>IF(AQ136="5",BJ136,0)</f>
        <v>0</v>
      </c>
      <c r="AB136" s="24">
        <f>IF(AQ136="1",BH136,0)</f>
        <v>0</v>
      </c>
      <c r="AC136" s="24">
        <f>IF(AQ136="1",BI136,0)</f>
        <v>0</v>
      </c>
      <c r="AD136" s="24">
        <f>IF(AQ136="7",BH136,0)</f>
        <v>0</v>
      </c>
      <c r="AE136" s="24">
        <f>IF(AQ136="7",BI136,0)</f>
        <v>0</v>
      </c>
      <c r="AF136" s="24">
        <f>IF(AQ136="2",BH136,0)</f>
        <v>0</v>
      </c>
      <c r="AG136" s="24">
        <f>IF(AQ136="2",BI136,0)</f>
        <v>0</v>
      </c>
      <c r="AH136" s="24">
        <f>IF(AQ136="0",BJ136,0)</f>
        <v>0</v>
      </c>
      <c r="AI136" s="9" t="s">
        <v>405</v>
      </c>
      <c r="AJ136" s="24">
        <f>IF(AN136=0,L136,0)</f>
        <v>0</v>
      </c>
      <c r="AK136" s="24">
        <f>IF(AN136=15,L136,0)</f>
        <v>0</v>
      </c>
      <c r="AL136" s="24">
        <f>IF(AN136=21,L136,0)</f>
        <v>0</v>
      </c>
      <c r="AN136" s="24">
        <v>21</v>
      </c>
      <c r="AO136" s="24">
        <f>I136*0.786771909388183</f>
        <v>0</v>
      </c>
      <c r="AP136" s="24">
        <f>I136*(1-0.786771909388183)</f>
        <v>0</v>
      </c>
      <c r="AQ136" s="30" t="s">
        <v>566</v>
      </c>
      <c r="AV136" s="24">
        <f>AW136+AX136</f>
        <v>0</v>
      </c>
      <c r="AW136" s="24">
        <f>H136*AO136</f>
        <v>0</v>
      </c>
      <c r="AX136" s="24">
        <f>H136*AP136</f>
        <v>0</v>
      </c>
      <c r="AY136" s="30" t="s">
        <v>496</v>
      </c>
      <c r="AZ136" s="30" t="s">
        <v>468</v>
      </c>
      <c r="BA136" s="9" t="s">
        <v>441</v>
      </c>
      <c r="BC136" s="24">
        <f>AW136+AX136</f>
        <v>0</v>
      </c>
      <c r="BD136" s="24">
        <f>I136/(100-BE136)*100</f>
        <v>0</v>
      </c>
      <c r="BE136" s="24">
        <v>0</v>
      </c>
      <c r="BF136" s="24">
        <f>136</f>
        <v>136</v>
      </c>
      <c r="BH136" s="24">
        <f>H136*AO136</f>
        <v>0</v>
      </c>
      <c r="BI136" s="24">
        <f>H136*AP136</f>
        <v>0</v>
      </c>
      <c r="BJ136" s="24">
        <f>H136*I136</f>
        <v>0</v>
      </c>
      <c r="BK136" s="24"/>
      <c r="BL136" s="24">
        <v>711</v>
      </c>
    </row>
    <row r="137" spans="1:64" ht="15" customHeight="1">
      <c r="A137" s="10"/>
      <c r="C137" s="34" t="s">
        <v>534</v>
      </c>
      <c r="F137" s="34" t="s">
        <v>405</v>
      </c>
      <c r="H137" s="3">
        <v>12.090000000000002</v>
      </c>
      <c r="M137" s="12"/>
    </row>
    <row r="138" spans="1:64" ht="15" customHeight="1">
      <c r="A138" s="10"/>
      <c r="C138" s="34" t="s">
        <v>173</v>
      </c>
      <c r="F138" s="34" t="s">
        <v>405</v>
      </c>
      <c r="H138" s="3">
        <v>1.2090000000000001</v>
      </c>
      <c r="M138" s="12"/>
    </row>
    <row r="139" spans="1:64" ht="15" customHeight="1">
      <c r="A139" s="19" t="s">
        <v>405</v>
      </c>
      <c r="B139" s="26" t="s">
        <v>263</v>
      </c>
      <c r="C139" s="70" t="s">
        <v>170</v>
      </c>
      <c r="D139" s="70"/>
      <c r="E139" s="70"/>
      <c r="F139" s="70"/>
      <c r="G139" s="11" t="s">
        <v>529</v>
      </c>
      <c r="H139" s="11" t="s">
        <v>529</v>
      </c>
      <c r="I139" s="11" t="s">
        <v>529</v>
      </c>
      <c r="J139" s="31">
        <f>SUM(J140:J140)</f>
        <v>0</v>
      </c>
      <c r="K139" s="31">
        <f>SUM(K140:K140)</f>
        <v>0</v>
      </c>
      <c r="L139" s="31">
        <f>SUM(L140:L140)</f>
        <v>0</v>
      </c>
      <c r="M139" s="35" t="s">
        <v>405</v>
      </c>
      <c r="AI139" s="9" t="s">
        <v>405</v>
      </c>
      <c r="AS139" s="31">
        <f>SUM(AJ140:AJ140)</f>
        <v>0</v>
      </c>
      <c r="AT139" s="31">
        <f>SUM(AK140:AK140)</f>
        <v>0</v>
      </c>
      <c r="AU139" s="31">
        <f>SUM(AL140:AL140)</f>
        <v>0</v>
      </c>
    </row>
    <row r="140" spans="1:64" ht="15" customHeight="1">
      <c r="A140" s="39" t="s">
        <v>42</v>
      </c>
      <c r="B140" s="8" t="s">
        <v>250</v>
      </c>
      <c r="C140" s="55" t="s">
        <v>602</v>
      </c>
      <c r="D140" s="55"/>
      <c r="E140" s="55"/>
      <c r="F140" s="55"/>
      <c r="G140" s="8" t="s">
        <v>143</v>
      </c>
      <c r="H140" s="24">
        <v>1</v>
      </c>
      <c r="I140" s="24">
        <v>0</v>
      </c>
      <c r="J140" s="24">
        <f>H140*AO140</f>
        <v>0</v>
      </c>
      <c r="K140" s="24">
        <f>H140*AP140</f>
        <v>0</v>
      </c>
      <c r="L140" s="24">
        <f>H140*I140</f>
        <v>0</v>
      </c>
      <c r="M140" s="47" t="s">
        <v>405</v>
      </c>
      <c r="Z140" s="24">
        <f>IF(AQ140="5",BJ140,0)</f>
        <v>0</v>
      </c>
      <c r="AB140" s="24">
        <f>IF(AQ140="1",BH140,0)</f>
        <v>0</v>
      </c>
      <c r="AC140" s="24">
        <f>IF(AQ140="1",BI140,0)</f>
        <v>0</v>
      </c>
      <c r="AD140" s="24">
        <f>IF(AQ140="7",BH140,0)</f>
        <v>0</v>
      </c>
      <c r="AE140" s="24">
        <f>IF(AQ140="7",BI140,0)</f>
        <v>0</v>
      </c>
      <c r="AF140" s="24">
        <f>IF(AQ140="2",BH140,0)</f>
        <v>0</v>
      </c>
      <c r="AG140" s="24">
        <f>IF(AQ140="2",BI140,0)</f>
        <v>0</v>
      </c>
      <c r="AH140" s="24">
        <f>IF(AQ140="0",BJ140,0)</f>
        <v>0</v>
      </c>
      <c r="AI140" s="9" t="s">
        <v>405</v>
      </c>
      <c r="AJ140" s="24">
        <f>IF(AN140=0,L140,0)</f>
        <v>0</v>
      </c>
      <c r="AK140" s="24">
        <f>IF(AN140=15,L140,0)</f>
        <v>0</v>
      </c>
      <c r="AL140" s="24">
        <f>IF(AN140=21,L140,0)</f>
        <v>0</v>
      </c>
      <c r="AN140" s="24">
        <v>21</v>
      </c>
      <c r="AO140" s="24">
        <f>I140*0.9</f>
        <v>0</v>
      </c>
      <c r="AP140" s="24">
        <f>I140*(1-0.9)</f>
        <v>0</v>
      </c>
      <c r="AQ140" s="30" t="s">
        <v>566</v>
      </c>
      <c r="AV140" s="24">
        <f>AW140+AX140</f>
        <v>0</v>
      </c>
      <c r="AW140" s="24">
        <f>H140*AO140</f>
        <v>0</v>
      </c>
      <c r="AX140" s="24">
        <f>H140*AP140</f>
        <v>0</v>
      </c>
      <c r="AY140" s="30" t="s">
        <v>161</v>
      </c>
      <c r="AZ140" s="30" t="s">
        <v>312</v>
      </c>
      <c r="BA140" s="9" t="s">
        <v>441</v>
      </c>
      <c r="BC140" s="24">
        <f>AW140+AX140</f>
        <v>0</v>
      </c>
      <c r="BD140" s="24">
        <f>I140/(100-BE140)*100</f>
        <v>0</v>
      </c>
      <c r="BE140" s="24">
        <v>0</v>
      </c>
      <c r="BF140" s="24">
        <f>140</f>
        <v>140</v>
      </c>
      <c r="BH140" s="24">
        <f>H140*AO140</f>
        <v>0</v>
      </c>
      <c r="BI140" s="24">
        <f>H140*AP140</f>
        <v>0</v>
      </c>
      <c r="BJ140" s="24">
        <f>H140*I140</f>
        <v>0</v>
      </c>
      <c r="BK140" s="24"/>
      <c r="BL140" s="24">
        <v>767</v>
      </c>
    </row>
    <row r="141" spans="1:64" ht="15" customHeight="1">
      <c r="A141" s="10"/>
      <c r="C141" s="34" t="s">
        <v>407</v>
      </c>
      <c r="F141" s="34" t="s">
        <v>405</v>
      </c>
      <c r="H141" s="3">
        <v>1</v>
      </c>
      <c r="M141" s="12"/>
    </row>
    <row r="142" spans="1:64" ht="15" customHeight="1">
      <c r="A142" s="19" t="s">
        <v>405</v>
      </c>
      <c r="B142" s="26" t="s">
        <v>620</v>
      </c>
      <c r="C142" s="70" t="s">
        <v>503</v>
      </c>
      <c r="D142" s="70"/>
      <c r="E142" s="70"/>
      <c r="F142" s="70"/>
      <c r="G142" s="11" t="s">
        <v>529</v>
      </c>
      <c r="H142" s="11" t="s">
        <v>529</v>
      </c>
      <c r="I142" s="11" t="s">
        <v>529</v>
      </c>
      <c r="J142" s="31">
        <f>SUM(J143:J155)</f>
        <v>0</v>
      </c>
      <c r="K142" s="31">
        <f>SUM(K143:K155)</f>
        <v>0</v>
      </c>
      <c r="L142" s="31">
        <f>SUM(L143:L155)</f>
        <v>0</v>
      </c>
      <c r="M142" s="35" t="s">
        <v>405</v>
      </c>
      <c r="AI142" s="9" t="s">
        <v>405</v>
      </c>
      <c r="AS142" s="31">
        <f>SUM(AJ143:AJ155)</f>
        <v>0</v>
      </c>
      <c r="AT142" s="31">
        <f>SUM(AK143:AK155)</f>
        <v>0</v>
      </c>
      <c r="AU142" s="31">
        <f>SUM(AL143:AL155)</f>
        <v>0</v>
      </c>
    </row>
    <row r="143" spans="1:64" ht="15" customHeight="1">
      <c r="A143" s="39" t="s">
        <v>447</v>
      </c>
      <c r="B143" s="8" t="s">
        <v>391</v>
      </c>
      <c r="C143" s="55" t="s">
        <v>259</v>
      </c>
      <c r="D143" s="55"/>
      <c r="E143" s="55"/>
      <c r="F143" s="55"/>
      <c r="G143" s="8" t="s">
        <v>556</v>
      </c>
      <c r="H143" s="24">
        <v>28.4</v>
      </c>
      <c r="I143" s="24">
        <v>0</v>
      </c>
      <c r="J143" s="24">
        <f>H143*AO143</f>
        <v>0</v>
      </c>
      <c r="K143" s="24">
        <f>H143*AP143</f>
        <v>0</v>
      </c>
      <c r="L143" s="24">
        <f>H143*I143</f>
        <v>0</v>
      </c>
      <c r="M143" s="47" t="s">
        <v>399</v>
      </c>
      <c r="Z143" s="24">
        <f>IF(AQ143="5",BJ143,0)</f>
        <v>0</v>
      </c>
      <c r="AB143" s="24">
        <f>IF(AQ143="1",BH143,0)</f>
        <v>0</v>
      </c>
      <c r="AC143" s="24">
        <f>IF(AQ143="1",BI143,0)</f>
        <v>0</v>
      </c>
      <c r="AD143" s="24">
        <f>IF(AQ143="7",BH143,0)</f>
        <v>0</v>
      </c>
      <c r="AE143" s="24">
        <f>IF(AQ143="7",BI143,0)</f>
        <v>0</v>
      </c>
      <c r="AF143" s="24">
        <f>IF(AQ143="2",BH143,0)</f>
        <v>0</v>
      </c>
      <c r="AG143" s="24">
        <f>IF(AQ143="2",BI143,0)</f>
        <v>0</v>
      </c>
      <c r="AH143" s="24">
        <f>IF(AQ143="0",BJ143,0)</f>
        <v>0</v>
      </c>
      <c r="AI143" s="9" t="s">
        <v>405</v>
      </c>
      <c r="AJ143" s="24">
        <f>IF(AN143=0,L143,0)</f>
        <v>0</v>
      </c>
      <c r="AK143" s="24">
        <f>IF(AN143=15,L143,0)</f>
        <v>0</v>
      </c>
      <c r="AL143" s="24">
        <f>IF(AN143=21,L143,0)</f>
        <v>0</v>
      </c>
      <c r="AN143" s="24">
        <v>21</v>
      </c>
      <c r="AO143" s="24">
        <f>I143*0.436432181932</f>
        <v>0</v>
      </c>
      <c r="AP143" s="24">
        <f>I143*(1-0.436432181932)</f>
        <v>0</v>
      </c>
      <c r="AQ143" s="30" t="s">
        <v>566</v>
      </c>
      <c r="AV143" s="24">
        <f>AW143+AX143</f>
        <v>0</v>
      </c>
      <c r="AW143" s="24">
        <f>H143*AO143</f>
        <v>0</v>
      </c>
      <c r="AX143" s="24">
        <f>H143*AP143</f>
        <v>0</v>
      </c>
      <c r="AY143" s="30" t="s">
        <v>580</v>
      </c>
      <c r="AZ143" s="30" t="s">
        <v>140</v>
      </c>
      <c r="BA143" s="9" t="s">
        <v>441</v>
      </c>
      <c r="BC143" s="24">
        <f>AW143+AX143</f>
        <v>0</v>
      </c>
      <c r="BD143" s="24">
        <f>I143/(100-BE143)*100</f>
        <v>0</v>
      </c>
      <c r="BE143" s="24">
        <v>0</v>
      </c>
      <c r="BF143" s="24">
        <f>143</f>
        <v>143</v>
      </c>
      <c r="BH143" s="24">
        <f>H143*AO143</f>
        <v>0</v>
      </c>
      <c r="BI143" s="24">
        <f>H143*AP143</f>
        <v>0</v>
      </c>
      <c r="BJ143" s="24">
        <f>H143*I143</f>
        <v>0</v>
      </c>
      <c r="BK143" s="24"/>
      <c r="BL143" s="24">
        <v>771</v>
      </c>
    </row>
    <row r="144" spans="1:64" ht="15" customHeight="1">
      <c r="A144" s="10"/>
      <c r="C144" s="34" t="s">
        <v>467</v>
      </c>
      <c r="F144" s="34" t="s">
        <v>405</v>
      </c>
      <c r="H144" s="3">
        <v>9.9</v>
      </c>
      <c r="M144" s="12"/>
    </row>
    <row r="145" spans="1:64" ht="15" customHeight="1">
      <c r="A145" s="10"/>
      <c r="C145" s="34" t="s">
        <v>543</v>
      </c>
      <c r="F145" s="34" t="s">
        <v>405</v>
      </c>
      <c r="H145" s="3">
        <v>18.5</v>
      </c>
      <c r="M145" s="12"/>
    </row>
    <row r="146" spans="1:64" ht="15" customHeight="1">
      <c r="A146" s="10"/>
      <c r="C146" s="34" t="s">
        <v>420</v>
      </c>
      <c r="F146" s="34" t="s">
        <v>405</v>
      </c>
      <c r="H146" s="3">
        <v>0</v>
      </c>
      <c r="M146" s="12"/>
    </row>
    <row r="147" spans="1:64" ht="15" customHeight="1">
      <c r="A147" s="39" t="s">
        <v>472</v>
      </c>
      <c r="B147" s="8" t="s">
        <v>175</v>
      </c>
      <c r="C147" s="55" t="s">
        <v>21</v>
      </c>
      <c r="D147" s="55"/>
      <c r="E147" s="55"/>
      <c r="F147" s="55"/>
      <c r="G147" s="8" t="s">
        <v>556</v>
      </c>
      <c r="H147" s="24">
        <v>28.4</v>
      </c>
      <c r="I147" s="24">
        <v>0</v>
      </c>
      <c r="J147" s="24">
        <f>H147*AO147</f>
        <v>0</v>
      </c>
      <c r="K147" s="24">
        <f>H147*AP147</f>
        <v>0</v>
      </c>
      <c r="L147" s="24">
        <f>H147*I147</f>
        <v>0</v>
      </c>
      <c r="M147" s="47" t="s">
        <v>399</v>
      </c>
      <c r="Z147" s="24">
        <f>IF(AQ147="5",BJ147,0)</f>
        <v>0</v>
      </c>
      <c r="AB147" s="24">
        <f>IF(AQ147="1",BH147,0)</f>
        <v>0</v>
      </c>
      <c r="AC147" s="24">
        <f>IF(AQ147="1",BI147,0)</f>
        <v>0</v>
      </c>
      <c r="AD147" s="24">
        <f>IF(AQ147="7",BH147,0)</f>
        <v>0</v>
      </c>
      <c r="AE147" s="24">
        <f>IF(AQ147="7",BI147,0)</f>
        <v>0</v>
      </c>
      <c r="AF147" s="24">
        <f>IF(AQ147="2",BH147,0)</f>
        <v>0</v>
      </c>
      <c r="AG147" s="24">
        <f>IF(AQ147="2",BI147,0)</f>
        <v>0</v>
      </c>
      <c r="AH147" s="24">
        <f>IF(AQ147="0",BJ147,0)</f>
        <v>0</v>
      </c>
      <c r="AI147" s="9" t="s">
        <v>405</v>
      </c>
      <c r="AJ147" s="24">
        <f>IF(AN147=0,L147,0)</f>
        <v>0</v>
      </c>
      <c r="AK147" s="24">
        <f>IF(AN147=15,L147,0)</f>
        <v>0</v>
      </c>
      <c r="AL147" s="24">
        <f>IF(AN147=21,L147,0)</f>
        <v>0</v>
      </c>
      <c r="AN147" s="24">
        <v>21</v>
      </c>
      <c r="AO147" s="24">
        <f>I147*0.428239959750215</f>
        <v>0</v>
      </c>
      <c r="AP147" s="24">
        <f>I147*(1-0.428239959750215)</f>
        <v>0</v>
      </c>
      <c r="AQ147" s="30" t="s">
        <v>566</v>
      </c>
      <c r="AV147" s="24">
        <f>AW147+AX147</f>
        <v>0</v>
      </c>
      <c r="AW147" s="24">
        <f>H147*AO147</f>
        <v>0</v>
      </c>
      <c r="AX147" s="24">
        <f>H147*AP147</f>
        <v>0</v>
      </c>
      <c r="AY147" s="30" t="s">
        <v>580</v>
      </c>
      <c r="AZ147" s="30" t="s">
        <v>140</v>
      </c>
      <c r="BA147" s="9" t="s">
        <v>441</v>
      </c>
      <c r="BC147" s="24">
        <f>AW147+AX147</f>
        <v>0</v>
      </c>
      <c r="BD147" s="24">
        <f>I147/(100-BE147)*100</f>
        <v>0</v>
      </c>
      <c r="BE147" s="24">
        <v>0</v>
      </c>
      <c r="BF147" s="24">
        <f>147</f>
        <v>147</v>
      </c>
      <c r="BH147" s="24">
        <f>H147*AO147</f>
        <v>0</v>
      </c>
      <c r="BI147" s="24">
        <f>H147*AP147</f>
        <v>0</v>
      </c>
      <c r="BJ147" s="24">
        <f>H147*I147</f>
        <v>0</v>
      </c>
      <c r="BK147" s="24"/>
      <c r="BL147" s="24">
        <v>771</v>
      </c>
    </row>
    <row r="148" spans="1:64" ht="15" customHeight="1">
      <c r="A148" s="10"/>
      <c r="C148" s="34" t="s">
        <v>290</v>
      </c>
      <c r="F148" s="34" t="s">
        <v>405</v>
      </c>
      <c r="H148" s="3">
        <v>28.400000000000002</v>
      </c>
      <c r="M148" s="12"/>
    </row>
    <row r="149" spans="1:64" ht="15" customHeight="1">
      <c r="A149" s="10"/>
      <c r="C149" s="34" t="s">
        <v>420</v>
      </c>
      <c r="F149" s="34" t="s">
        <v>405</v>
      </c>
      <c r="H149" s="3">
        <v>0</v>
      </c>
      <c r="M149" s="12"/>
    </row>
    <row r="150" spans="1:64" ht="15" customHeight="1">
      <c r="A150" s="39" t="s">
        <v>245</v>
      </c>
      <c r="B150" s="8" t="s">
        <v>298</v>
      </c>
      <c r="C150" s="55" t="s">
        <v>243</v>
      </c>
      <c r="D150" s="55"/>
      <c r="E150" s="55"/>
      <c r="F150" s="55"/>
      <c r="G150" s="8" t="s">
        <v>556</v>
      </c>
      <c r="H150" s="24">
        <v>28.4</v>
      </c>
      <c r="I150" s="24">
        <v>0</v>
      </c>
      <c r="J150" s="24">
        <f>H150*AO150</f>
        <v>0</v>
      </c>
      <c r="K150" s="24">
        <f>H150*AP150</f>
        <v>0</v>
      </c>
      <c r="L150" s="24">
        <f>H150*I150</f>
        <v>0</v>
      </c>
      <c r="M150" s="47" t="s">
        <v>399</v>
      </c>
      <c r="Z150" s="24">
        <f>IF(AQ150="5",BJ150,0)</f>
        <v>0</v>
      </c>
      <c r="AB150" s="24">
        <f>IF(AQ150="1",BH150,0)</f>
        <v>0</v>
      </c>
      <c r="AC150" s="24">
        <f>IF(AQ150="1",BI150,0)</f>
        <v>0</v>
      </c>
      <c r="AD150" s="24">
        <f>IF(AQ150="7",BH150,0)</f>
        <v>0</v>
      </c>
      <c r="AE150" s="24">
        <f>IF(AQ150="7",BI150,0)</f>
        <v>0</v>
      </c>
      <c r="AF150" s="24">
        <f>IF(AQ150="2",BH150,0)</f>
        <v>0</v>
      </c>
      <c r="AG150" s="24">
        <f>IF(AQ150="2",BI150,0)</f>
        <v>0</v>
      </c>
      <c r="AH150" s="24">
        <f>IF(AQ150="0",BJ150,0)</f>
        <v>0</v>
      </c>
      <c r="AI150" s="9" t="s">
        <v>405</v>
      </c>
      <c r="AJ150" s="24">
        <f>IF(AN150=0,L150,0)</f>
        <v>0</v>
      </c>
      <c r="AK150" s="24">
        <f>IF(AN150=15,L150,0)</f>
        <v>0</v>
      </c>
      <c r="AL150" s="24">
        <f>IF(AN150=21,L150,0)</f>
        <v>0</v>
      </c>
      <c r="AN150" s="24">
        <v>21</v>
      </c>
      <c r="AO150" s="24">
        <f>I150*0.169764150943396</f>
        <v>0</v>
      </c>
      <c r="AP150" s="24">
        <f>I150*(1-0.169764150943396)</f>
        <v>0</v>
      </c>
      <c r="AQ150" s="30" t="s">
        <v>566</v>
      </c>
      <c r="AV150" s="24">
        <f>AW150+AX150</f>
        <v>0</v>
      </c>
      <c r="AW150" s="24">
        <f>H150*AO150</f>
        <v>0</v>
      </c>
      <c r="AX150" s="24">
        <f>H150*AP150</f>
        <v>0</v>
      </c>
      <c r="AY150" s="30" t="s">
        <v>580</v>
      </c>
      <c r="AZ150" s="30" t="s">
        <v>140</v>
      </c>
      <c r="BA150" s="9" t="s">
        <v>441</v>
      </c>
      <c r="BC150" s="24">
        <f>AW150+AX150</f>
        <v>0</v>
      </c>
      <c r="BD150" s="24">
        <f>I150/(100-BE150)*100</f>
        <v>0</v>
      </c>
      <c r="BE150" s="24">
        <v>0</v>
      </c>
      <c r="BF150" s="24">
        <f>150</f>
        <v>150</v>
      </c>
      <c r="BH150" s="24">
        <f>H150*AO150</f>
        <v>0</v>
      </c>
      <c r="BI150" s="24">
        <f>H150*AP150</f>
        <v>0</v>
      </c>
      <c r="BJ150" s="24">
        <f>H150*I150</f>
        <v>0</v>
      </c>
      <c r="BK150" s="24"/>
      <c r="BL150" s="24">
        <v>771</v>
      </c>
    </row>
    <row r="151" spans="1:64" ht="15" customHeight="1">
      <c r="A151" s="10"/>
      <c r="C151" s="34" t="s">
        <v>290</v>
      </c>
      <c r="F151" s="34" t="s">
        <v>405</v>
      </c>
      <c r="H151" s="3">
        <v>28.400000000000002</v>
      </c>
      <c r="M151" s="12"/>
    </row>
    <row r="152" spans="1:64" ht="15" customHeight="1">
      <c r="A152" s="10"/>
      <c r="C152" s="34" t="s">
        <v>420</v>
      </c>
      <c r="F152" s="34" t="s">
        <v>405</v>
      </c>
      <c r="H152" s="3">
        <v>0</v>
      </c>
      <c r="M152" s="12"/>
    </row>
    <row r="153" spans="1:64" ht="15" customHeight="1">
      <c r="A153" s="39" t="s">
        <v>241</v>
      </c>
      <c r="B153" s="8" t="s">
        <v>151</v>
      </c>
      <c r="C153" s="55" t="s">
        <v>631</v>
      </c>
      <c r="D153" s="55"/>
      <c r="E153" s="55"/>
      <c r="F153" s="55"/>
      <c r="G153" s="8" t="s">
        <v>556</v>
      </c>
      <c r="H153" s="24">
        <v>30</v>
      </c>
      <c r="I153" s="24">
        <v>0</v>
      </c>
      <c r="J153" s="24">
        <f>H153*AO153</f>
        <v>0</v>
      </c>
      <c r="K153" s="24">
        <f>H153*AP153</f>
        <v>0</v>
      </c>
      <c r="L153" s="24">
        <f>H153*I153</f>
        <v>0</v>
      </c>
      <c r="M153" s="47" t="s">
        <v>405</v>
      </c>
      <c r="Z153" s="24">
        <f>IF(AQ153="5",BJ153,0)</f>
        <v>0</v>
      </c>
      <c r="AB153" s="24">
        <f>IF(AQ153="1",BH153,0)</f>
        <v>0</v>
      </c>
      <c r="AC153" s="24">
        <f>IF(AQ153="1",BI153,0)</f>
        <v>0</v>
      </c>
      <c r="AD153" s="24">
        <f>IF(AQ153="7",BH153,0)</f>
        <v>0</v>
      </c>
      <c r="AE153" s="24">
        <f>IF(AQ153="7",BI153,0)</f>
        <v>0</v>
      </c>
      <c r="AF153" s="24">
        <f>IF(AQ153="2",BH153,0)</f>
        <v>0</v>
      </c>
      <c r="AG153" s="24">
        <f>IF(AQ153="2",BI153,0)</f>
        <v>0</v>
      </c>
      <c r="AH153" s="24">
        <f>IF(AQ153="0",BJ153,0)</f>
        <v>0</v>
      </c>
      <c r="AI153" s="9" t="s">
        <v>405</v>
      </c>
      <c r="AJ153" s="24">
        <f>IF(AN153=0,L153,0)</f>
        <v>0</v>
      </c>
      <c r="AK153" s="24">
        <f>IF(AN153=15,L153,0)</f>
        <v>0</v>
      </c>
      <c r="AL153" s="24">
        <f>IF(AN153=21,L153,0)</f>
        <v>0</v>
      </c>
      <c r="AN153" s="24">
        <v>21</v>
      </c>
      <c r="AO153" s="24">
        <f>I153*1</f>
        <v>0</v>
      </c>
      <c r="AP153" s="24">
        <f>I153*(1-1)</f>
        <v>0</v>
      </c>
      <c r="AQ153" s="30" t="s">
        <v>566</v>
      </c>
      <c r="AV153" s="24">
        <f>AW153+AX153</f>
        <v>0</v>
      </c>
      <c r="AW153" s="24">
        <f>H153*AO153</f>
        <v>0</v>
      </c>
      <c r="AX153" s="24">
        <f>H153*AP153</f>
        <v>0</v>
      </c>
      <c r="AY153" s="30" t="s">
        <v>580</v>
      </c>
      <c r="AZ153" s="30" t="s">
        <v>140</v>
      </c>
      <c r="BA153" s="9" t="s">
        <v>441</v>
      </c>
      <c r="BC153" s="24">
        <f>AW153+AX153</f>
        <v>0</v>
      </c>
      <c r="BD153" s="24">
        <f>I153/(100-BE153)*100</f>
        <v>0</v>
      </c>
      <c r="BE153" s="24">
        <v>0</v>
      </c>
      <c r="BF153" s="24">
        <f>153</f>
        <v>153</v>
      </c>
      <c r="BH153" s="24">
        <f>H153*AO153</f>
        <v>0</v>
      </c>
      <c r="BI153" s="24">
        <f>H153*AP153</f>
        <v>0</v>
      </c>
      <c r="BJ153" s="24">
        <f>H153*I153</f>
        <v>0</v>
      </c>
      <c r="BK153" s="24"/>
      <c r="BL153" s="24">
        <v>771</v>
      </c>
    </row>
    <row r="154" spans="1:64" ht="15" customHeight="1">
      <c r="A154" s="10"/>
      <c r="C154" s="34" t="s">
        <v>294</v>
      </c>
      <c r="F154" s="34" t="s">
        <v>405</v>
      </c>
      <c r="H154" s="3">
        <v>30.000000000000004</v>
      </c>
      <c r="M154" s="12"/>
    </row>
    <row r="155" spans="1:64" ht="15" customHeight="1">
      <c r="A155" s="39" t="s">
        <v>273</v>
      </c>
      <c r="B155" s="8" t="s">
        <v>119</v>
      </c>
      <c r="C155" s="55" t="s">
        <v>184</v>
      </c>
      <c r="D155" s="55"/>
      <c r="E155" s="55"/>
      <c r="F155" s="55"/>
      <c r="G155" s="8" t="s">
        <v>556</v>
      </c>
      <c r="H155" s="24">
        <v>28.4</v>
      </c>
      <c r="I155" s="24">
        <v>0</v>
      </c>
      <c r="J155" s="24">
        <f>H155*AO155</f>
        <v>0</v>
      </c>
      <c r="K155" s="24">
        <f>H155*AP155</f>
        <v>0</v>
      </c>
      <c r="L155" s="24">
        <f>H155*I155</f>
        <v>0</v>
      </c>
      <c r="M155" s="47" t="s">
        <v>399</v>
      </c>
      <c r="Z155" s="24">
        <f>IF(AQ155="5",BJ155,0)</f>
        <v>0</v>
      </c>
      <c r="AB155" s="24">
        <f>IF(AQ155="1",BH155,0)</f>
        <v>0</v>
      </c>
      <c r="AC155" s="24">
        <f>IF(AQ155="1",BI155,0)</f>
        <v>0</v>
      </c>
      <c r="AD155" s="24">
        <f>IF(AQ155="7",BH155,0)</f>
        <v>0</v>
      </c>
      <c r="AE155" s="24">
        <f>IF(AQ155="7",BI155,0)</f>
        <v>0</v>
      </c>
      <c r="AF155" s="24">
        <f>IF(AQ155="2",BH155,0)</f>
        <v>0</v>
      </c>
      <c r="AG155" s="24">
        <f>IF(AQ155="2",BI155,0)</f>
        <v>0</v>
      </c>
      <c r="AH155" s="24">
        <f>IF(AQ155="0",BJ155,0)</f>
        <v>0</v>
      </c>
      <c r="AI155" s="9" t="s">
        <v>405</v>
      </c>
      <c r="AJ155" s="24">
        <f>IF(AN155=0,L155,0)</f>
        <v>0</v>
      </c>
      <c r="AK155" s="24">
        <f>IF(AN155=15,L155,0)</f>
        <v>0</v>
      </c>
      <c r="AL155" s="24">
        <f>IF(AN155=21,L155,0)</f>
        <v>0</v>
      </c>
      <c r="AN155" s="24">
        <v>21</v>
      </c>
      <c r="AO155" s="24">
        <f>I155*0</f>
        <v>0</v>
      </c>
      <c r="AP155" s="24">
        <f>I155*(1-0)</f>
        <v>0</v>
      </c>
      <c r="AQ155" s="30" t="s">
        <v>566</v>
      </c>
      <c r="AV155" s="24">
        <f>AW155+AX155</f>
        <v>0</v>
      </c>
      <c r="AW155" s="24">
        <f>H155*AO155</f>
        <v>0</v>
      </c>
      <c r="AX155" s="24">
        <f>H155*AP155</f>
        <v>0</v>
      </c>
      <c r="AY155" s="30" t="s">
        <v>580</v>
      </c>
      <c r="AZ155" s="30" t="s">
        <v>140</v>
      </c>
      <c r="BA155" s="9" t="s">
        <v>441</v>
      </c>
      <c r="BC155" s="24">
        <f>AW155+AX155</f>
        <v>0</v>
      </c>
      <c r="BD155" s="24">
        <f>I155/(100-BE155)*100</f>
        <v>0</v>
      </c>
      <c r="BE155" s="24">
        <v>0</v>
      </c>
      <c r="BF155" s="24">
        <f>155</f>
        <v>155</v>
      </c>
      <c r="BH155" s="24">
        <f>H155*AO155</f>
        <v>0</v>
      </c>
      <c r="BI155" s="24">
        <f>H155*AP155</f>
        <v>0</v>
      </c>
      <c r="BJ155" s="24">
        <f>H155*I155</f>
        <v>0</v>
      </c>
      <c r="BK155" s="24"/>
      <c r="BL155" s="24">
        <v>771</v>
      </c>
    </row>
    <row r="156" spans="1:64" ht="15" customHeight="1">
      <c r="A156" s="10"/>
      <c r="C156" s="34" t="s">
        <v>467</v>
      </c>
      <c r="F156" s="34" t="s">
        <v>405</v>
      </c>
      <c r="H156" s="3">
        <v>9.9</v>
      </c>
      <c r="M156" s="12"/>
    </row>
    <row r="157" spans="1:64" ht="15" customHeight="1">
      <c r="A157" s="10"/>
      <c r="C157" s="34" t="s">
        <v>543</v>
      </c>
      <c r="F157" s="34" t="s">
        <v>405</v>
      </c>
      <c r="H157" s="3">
        <v>18.5</v>
      </c>
      <c r="M157" s="12"/>
    </row>
    <row r="158" spans="1:64" ht="15" customHeight="1">
      <c r="A158" s="19" t="s">
        <v>405</v>
      </c>
      <c r="B158" s="26" t="s">
        <v>465</v>
      </c>
      <c r="C158" s="70" t="s">
        <v>251</v>
      </c>
      <c r="D158" s="70"/>
      <c r="E158" s="70"/>
      <c r="F158" s="70"/>
      <c r="G158" s="11" t="s">
        <v>529</v>
      </c>
      <c r="H158" s="11" t="s">
        <v>529</v>
      </c>
      <c r="I158" s="11" t="s">
        <v>529</v>
      </c>
      <c r="J158" s="31">
        <f>SUM(J159:J159)</f>
        <v>0</v>
      </c>
      <c r="K158" s="31">
        <f>SUM(K159:K159)</f>
        <v>0</v>
      </c>
      <c r="L158" s="31">
        <f>SUM(L159:L159)</f>
        <v>0</v>
      </c>
      <c r="M158" s="35" t="s">
        <v>405</v>
      </c>
      <c r="AI158" s="9" t="s">
        <v>405</v>
      </c>
      <c r="AS158" s="31">
        <f>SUM(AJ159:AJ159)</f>
        <v>0</v>
      </c>
      <c r="AT158" s="31">
        <f>SUM(AK159:AK159)</f>
        <v>0</v>
      </c>
      <c r="AU158" s="31">
        <f>SUM(AL159:AL159)</f>
        <v>0</v>
      </c>
    </row>
    <row r="159" spans="1:64" ht="15" customHeight="1">
      <c r="A159" s="39" t="s">
        <v>528</v>
      </c>
      <c r="B159" s="8" t="s">
        <v>279</v>
      </c>
      <c r="C159" s="55" t="s">
        <v>613</v>
      </c>
      <c r="D159" s="55"/>
      <c r="E159" s="55"/>
      <c r="F159" s="55"/>
      <c r="G159" s="8" t="s">
        <v>433</v>
      </c>
      <c r="H159" s="24">
        <v>1</v>
      </c>
      <c r="I159" s="24">
        <v>0</v>
      </c>
      <c r="J159" s="24">
        <f>H159*AO159</f>
        <v>0</v>
      </c>
      <c r="K159" s="24">
        <f>H159*AP159</f>
        <v>0</v>
      </c>
      <c r="L159" s="24">
        <f>H159*I159</f>
        <v>0</v>
      </c>
      <c r="M159" s="47" t="s">
        <v>405</v>
      </c>
      <c r="Z159" s="24">
        <f>IF(AQ159="5",BJ159,0)</f>
        <v>0</v>
      </c>
      <c r="AB159" s="24">
        <f>IF(AQ159="1",BH159,0)</f>
        <v>0</v>
      </c>
      <c r="AC159" s="24">
        <f>IF(AQ159="1",BI159,0)</f>
        <v>0</v>
      </c>
      <c r="AD159" s="24">
        <f>IF(AQ159="7",BH159,0)</f>
        <v>0</v>
      </c>
      <c r="AE159" s="24">
        <f>IF(AQ159="7",BI159,0)</f>
        <v>0</v>
      </c>
      <c r="AF159" s="24">
        <f>IF(AQ159="2",BH159,0)</f>
        <v>0</v>
      </c>
      <c r="AG159" s="24">
        <f>IF(AQ159="2",BI159,0)</f>
        <v>0</v>
      </c>
      <c r="AH159" s="24">
        <f>IF(AQ159="0",BJ159,0)</f>
        <v>0</v>
      </c>
      <c r="AI159" s="9" t="s">
        <v>405</v>
      </c>
      <c r="AJ159" s="24">
        <f>IF(AN159=0,L159,0)</f>
        <v>0</v>
      </c>
      <c r="AK159" s="24">
        <f>IF(AN159=15,L159,0)</f>
        <v>0</v>
      </c>
      <c r="AL159" s="24">
        <f>IF(AN159=21,L159,0)</f>
        <v>0</v>
      </c>
      <c r="AN159" s="24">
        <v>21</v>
      </c>
      <c r="AO159" s="24">
        <f>I159*0.5</f>
        <v>0</v>
      </c>
      <c r="AP159" s="24">
        <f>I159*(1-0.5)</f>
        <v>0</v>
      </c>
      <c r="AQ159" s="30" t="s">
        <v>566</v>
      </c>
      <c r="AV159" s="24">
        <f>AW159+AX159</f>
        <v>0</v>
      </c>
      <c r="AW159" s="24">
        <f>H159*AO159</f>
        <v>0</v>
      </c>
      <c r="AX159" s="24">
        <f>H159*AP159</f>
        <v>0</v>
      </c>
      <c r="AY159" s="30" t="s">
        <v>262</v>
      </c>
      <c r="AZ159" s="30" t="s">
        <v>256</v>
      </c>
      <c r="BA159" s="9" t="s">
        <v>441</v>
      </c>
      <c r="BC159" s="24">
        <f>AW159+AX159</f>
        <v>0</v>
      </c>
      <c r="BD159" s="24">
        <f>I159/(100-BE159)*100</f>
        <v>0</v>
      </c>
      <c r="BE159" s="24">
        <v>0</v>
      </c>
      <c r="BF159" s="24">
        <f>159</f>
        <v>159</v>
      </c>
      <c r="BH159" s="24">
        <f>H159*AO159</f>
        <v>0</v>
      </c>
      <c r="BI159" s="24">
        <f>H159*AP159</f>
        <v>0</v>
      </c>
      <c r="BJ159" s="24">
        <f>H159*I159</f>
        <v>0</v>
      </c>
      <c r="BK159" s="24"/>
      <c r="BL159" s="24">
        <v>781</v>
      </c>
    </row>
    <row r="160" spans="1:64" ht="15" customHeight="1">
      <c r="A160" s="10"/>
      <c r="C160" s="34" t="s">
        <v>22</v>
      </c>
      <c r="F160" s="34" t="s">
        <v>405</v>
      </c>
      <c r="H160" s="3">
        <v>1</v>
      </c>
      <c r="M160" s="12"/>
    </row>
    <row r="161" spans="1:64" ht="15" customHeight="1">
      <c r="A161" s="19" t="s">
        <v>405</v>
      </c>
      <c r="B161" s="26" t="s">
        <v>328</v>
      </c>
      <c r="C161" s="70" t="s">
        <v>457</v>
      </c>
      <c r="D161" s="70"/>
      <c r="E161" s="70"/>
      <c r="F161" s="70"/>
      <c r="G161" s="11" t="s">
        <v>529</v>
      </c>
      <c r="H161" s="11" t="s">
        <v>529</v>
      </c>
      <c r="I161" s="11" t="s">
        <v>529</v>
      </c>
      <c r="J161" s="31">
        <f>SUM(J162:J172)</f>
        <v>0</v>
      </c>
      <c r="K161" s="31">
        <f>SUM(K162:K172)</f>
        <v>0</v>
      </c>
      <c r="L161" s="31">
        <f>SUM(L162:L172)</f>
        <v>0</v>
      </c>
      <c r="M161" s="35" t="s">
        <v>405</v>
      </c>
      <c r="AI161" s="9" t="s">
        <v>405</v>
      </c>
      <c r="AS161" s="31">
        <f>SUM(AJ162:AJ172)</f>
        <v>0</v>
      </c>
      <c r="AT161" s="31">
        <f>SUM(AK162:AK172)</f>
        <v>0</v>
      </c>
      <c r="AU161" s="31">
        <f>SUM(AL162:AL172)</f>
        <v>0</v>
      </c>
    </row>
    <row r="162" spans="1:64" ht="15" customHeight="1">
      <c r="A162" s="39" t="s">
        <v>384</v>
      </c>
      <c r="B162" s="8" t="s">
        <v>324</v>
      </c>
      <c r="C162" s="55" t="s">
        <v>304</v>
      </c>
      <c r="D162" s="55"/>
      <c r="E162" s="55"/>
      <c r="F162" s="55"/>
      <c r="G162" s="8" t="s">
        <v>556</v>
      </c>
      <c r="H162" s="24">
        <v>11.138999999999999</v>
      </c>
      <c r="I162" s="24">
        <v>0</v>
      </c>
      <c r="J162" s="24">
        <f>H162*AO162</f>
        <v>0</v>
      </c>
      <c r="K162" s="24">
        <f>H162*AP162</f>
        <v>0</v>
      </c>
      <c r="L162" s="24">
        <f>H162*I162</f>
        <v>0</v>
      </c>
      <c r="M162" s="47" t="s">
        <v>399</v>
      </c>
      <c r="Z162" s="24">
        <f>IF(AQ162="5",BJ162,0)</f>
        <v>0</v>
      </c>
      <c r="AB162" s="24">
        <f>IF(AQ162="1",BH162,0)</f>
        <v>0</v>
      </c>
      <c r="AC162" s="24">
        <f>IF(AQ162="1",BI162,0)</f>
        <v>0</v>
      </c>
      <c r="AD162" s="24">
        <f>IF(AQ162="7",BH162,0)</f>
        <v>0</v>
      </c>
      <c r="AE162" s="24">
        <f>IF(AQ162="7",BI162,0)</f>
        <v>0</v>
      </c>
      <c r="AF162" s="24">
        <f>IF(AQ162="2",BH162,0)</f>
        <v>0</v>
      </c>
      <c r="AG162" s="24">
        <f>IF(AQ162="2",BI162,0)</f>
        <v>0</v>
      </c>
      <c r="AH162" s="24">
        <f>IF(AQ162="0",BJ162,0)</f>
        <v>0</v>
      </c>
      <c r="AI162" s="9" t="s">
        <v>405</v>
      </c>
      <c r="AJ162" s="24">
        <f>IF(AN162=0,L162,0)</f>
        <v>0</v>
      </c>
      <c r="AK162" s="24">
        <f>IF(AN162=15,L162,0)</f>
        <v>0</v>
      </c>
      <c r="AL162" s="24">
        <f>IF(AN162=21,L162,0)</f>
        <v>0</v>
      </c>
      <c r="AN162" s="24">
        <v>21</v>
      </c>
      <c r="AO162" s="24">
        <f>I162*0.289127894346288</f>
        <v>0</v>
      </c>
      <c r="AP162" s="24">
        <f>I162*(1-0.289127894346288)</f>
        <v>0</v>
      </c>
      <c r="AQ162" s="30" t="s">
        <v>566</v>
      </c>
      <c r="AV162" s="24">
        <f>AW162+AX162</f>
        <v>0</v>
      </c>
      <c r="AW162" s="24">
        <f>H162*AO162</f>
        <v>0</v>
      </c>
      <c r="AX162" s="24">
        <f>H162*AP162</f>
        <v>0</v>
      </c>
      <c r="AY162" s="30" t="s">
        <v>139</v>
      </c>
      <c r="AZ162" s="30" t="s">
        <v>256</v>
      </c>
      <c r="BA162" s="9" t="s">
        <v>441</v>
      </c>
      <c r="BC162" s="24">
        <f>AW162+AX162</f>
        <v>0</v>
      </c>
      <c r="BD162" s="24">
        <f>I162/(100-BE162)*100</f>
        <v>0</v>
      </c>
      <c r="BE162" s="24">
        <v>0</v>
      </c>
      <c r="BF162" s="24">
        <f>162</f>
        <v>162</v>
      </c>
      <c r="BH162" s="24">
        <f>H162*AO162</f>
        <v>0</v>
      </c>
      <c r="BI162" s="24">
        <f>H162*AP162</f>
        <v>0</v>
      </c>
      <c r="BJ162" s="24">
        <f>H162*I162</f>
        <v>0</v>
      </c>
      <c r="BK162" s="24"/>
      <c r="BL162" s="24">
        <v>783</v>
      </c>
    </row>
    <row r="163" spans="1:64" ht="15" customHeight="1">
      <c r="A163" s="10"/>
      <c r="C163" s="34" t="s">
        <v>385</v>
      </c>
      <c r="F163" s="34" t="s">
        <v>405</v>
      </c>
      <c r="H163" s="3">
        <v>11.139000000000001</v>
      </c>
      <c r="M163" s="12"/>
    </row>
    <row r="164" spans="1:64" ht="15" customHeight="1">
      <c r="A164" s="39" t="s">
        <v>363</v>
      </c>
      <c r="B164" s="8" t="s">
        <v>458</v>
      </c>
      <c r="C164" s="55" t="s">
        <v>162</v>
      </c>
      <c r="D164" s="55"/>
      <c r="E164" s="55"/>
      <c r="F164" s="55"/>
      <c r="G164" s="8" t="s">
        <v>556</v>
      </c>
      <c r="H164" s="24">
        <v>4.6500000000000004</v>
      </c>
      <c r="I164" s="24">
        <v>0</v>
      </c>
      <c r="J164" s="24">
        <f>H164*AO164</f>
        <v>0</v>
      </c>
      <c r="K164" s="24">
        <f>H164*AP164</f>
        <v>0</v>
      </c>
      <c r="L164" s="24">
        <f>H164*I164</f>
        <v>0</v>
      </c>
      <c r="M164" s="47" t="s">
        <v>399</v>
      </c>
      <c r="Z164" s="24">
        <f>IF(AQ164="5",BJ164,0)</f>
        <v>0</v>
      </c>
      <c r="AB164" s="24">
        <f>IF(AQ164="1",BH164,0)</f>
        <v>0</v>
      </c>
      <c r="AC164" s="24">
        <f>IF(AQ164="1",BI164,0)</f>
        <v>0</v>
      </c>
      <c r="AD164" s="24">
        <f>IF(AQ164="7",BH164,0)</f>
        <v>0</v>
      </c>
      <c r="AE164" s="24">
        <f>IF(AQ164="7",BI164,0)</f>
        <v>0</v>
      </c>
      <c r="AF164" s="24">
        <f>IF(AQ164="2",BH164,0)</f>
        <v>0</v>
      </c>
      <c r="AG164" s="24">
        <f>IF(AQ164="2",BI164,0)</f>
        <v>0</v>
      </c>
      <c r="AH164" s="24">
        <f>IF(AQ164="0",BJ164,0)</f>
        <v>0</v>
      </c>
      <c r="AI164" s="9" t="s">
        <v>405</v>
      </c>
      <c r="AJ164" s="24">
        <f>IF(AN164=0,L164,0)</f>
        <v>0</v>
      </c>
      <c r="AK164" s="24">
        <f>IF(AN164=15,L164,0)</f>
        <v>0</v>
      </c>
      <c r="AL164" s="24">
        <f>IF(AN164=21,L164,0)</f>
        <v>0</v>
      </c>
      <c r="AN164" s="24">
        <v>21</v>
      </c>
      <c r="AO164" s="24">
        <f>I164*0.0627986702680241</f>
        <v>0</v>
      </c>
      <c r="AP164" s="24">
        <f>I164*(1-0.0627986702680241)</f>
        <v>0</v>
      </c>
      <c r="AQ164" s="30" t="s">
        <v>566</v>
      </c>
      <c r="AV164" s="24">
        <f>AW164+AX164</f>
        <v>0</v>
      </c>
      <c r="AW164" s="24">
        <f>H164*AO164</f>
        <v>0</v>
      </c>
      <c r="AX164" s="24">
        <f>H164*AP164</f>
        <v>0</v>
      </c>
      <c r="AY164" s="30" t="s">
        <v>139</v>
      </c>
      <c r="AZ164" s="30" t="s">
        <v>256</v>
      </c>
      <c r="BA164" s="9" t="s">
        <v>441</v>
      </c>
      <c r="BC164" s="24">
        <f>AW164+AX164</f>
        <v>0</v>
      </c>
      <c r="BD164" s="24">
        <f>I164/(100-BE164)*100</f>
        <v>0</v>
      </c>
      <c r="BE164" s="24">
        <v>0</v>
      </c>
      <c r="BF164" s="24">
        <f>164</f>
        <v>164</v>
      </c>
      <c r="BH164" s="24">
        <f>H164*AO164</f>
        <v>0</v>
      </c>
      <c r="BI164" s="24">
        <f>H164*AP164</f>
        <v>0</v>
      </c>
      <c r="BJ164" s="24">
        <f>H164*I164</f>
        <v>0</v>
      </c>
      <c r="BK164" s="24"/>
      <c r="BL164" s="24">
        <v>783</v>
      </c>
    </row>
    <row r="165" spans="1:64" ht="15" customHeight="1">
      <c r="A165" s="10"/>
      <c r="C165" s="34" t="s">
        <v>603</v>
      </c>
      <c r="F165" s="34" t="s">
        <v>405</v>
      </c>
      <c r="H165" s="3">
        <v>4.6500000000000004</v>
      </c>
      <c r="M165" s="12"/>
    </row>
    <row r="166" spans="1:64" ht="15" customHeight="1">
      <c r="A166" s="39" t="s">
        <v>539</v>
      </c>
      <c r="B166" s="8" t="s">
        <v>596</v>
      </c>
      <c r="C166" s="55" t="s">
        <v>486</v>
      </c>
      <c r="D166" s="55"/>
      <c r="E166" s="55"/>
      <c r="F166" s="55"/>
      <c r="G166" s="8" t="s">
        <v>556</v>
      </c>
      <c r="H166" s="24">
        <v>4.6500000000000004</v>
      </c>
      <c r="I166" s="24">
        <v>0</v>
      </c>
      <c r="J166" s="24">
        <f>H166*AO166</f>
        <v>0</v>
      </c>
      <c r="K166" s="24">
        <f>H166*AP166</f>
        <v>0</v>
      </c>
      <c r="L166" s="24">
        <f>H166*I166</f>
        <v>0</v>
      </c>
      <c r="M166" s="47" t="s">
        <v>399</v>
      </c>
      <c r="Z166" s="24">
        <f>IF(AQ166="5",BJ166,0)</f>
        <v>0</v>
      </c>
      <c r="AB166" s="24">
        <f>IF(AQ166="1",BH166,0)</f>
        <v>0</v>
      </c>
      <c r="AC166" s="24">
        <f>IF(AQ166="1",BI166,0)</f>
        <v>0</v>
      </c>
      <c r="AD166" s="24">
        <f>IF(AQ166="7",BH166,0)</f>
        <v>0</v>
      </c>
      <c r="AE166" s="24">
        <f>IF(AQ166="7",BI166,0)</f>
        <v>0</v>
      </c>
      <c r="AF166" s="24">
        <f>IF(AQ166="2",BH166,0)</f>
        <v>0</v>
      </c>
      <c r="AG166" s="24">
        <f>IF(AQ166="2",BI166,0)</f>
        <v>0</v>
      </c>
      <c r="AH166" s="24">
        <f>IF(AQ166="0",BJ166,0)</f>
        <v>0</v>
      </c>
      <c r="AI166" s="9" t="s">
        <v>405</v>
      </c>
      <c r="AJ166" s="24">
        <f>IF(AN166=0,L166,0)</f>
        <v>0</v>
      </c>
      <c r="AK166" s="24">
        <f>IF(AN166=15,L166,0)</f>
        <v>0</v>
      </c>
      <c r="AL166" s="24">
        <f>IF(AN166=21,L166,0)</f>
        <v>0</v>
      </c>
      <c r="AN166" s="24">
        <v>21</v>
      </c>
      <c r="AO166" s="24">
        <f>I166*0.114714285714286</f>
        <v>0</v>
      </c>
      <c r="AP166" s="24">
        <f>I166*(1-0.114714285714286)</f>
        <v>0</v>
      </c>
      <c r="AQ166" s="30" t="s">
        <v>566</v>
      </c>
      <c r="AV166" s="24">
        <f>AW166+AX166</f>
        <v>0</v>
      </c>
      <c r="AW166" s="24">
        <f>H166*AO166</f>
        <v>0</v>
      </c>
      <c r="AX166" s="24">
        <f>H166*AP166</f>
        <v>0</v>
      </c>
      <c r="AY166" s="30" t="s">
        <v>139</v>
      </c>
      <c r="AZ166" s="30" t="s">
        <v>256</v>
      </c>
      <c r="BA166" s="9" t="s">
        <v>441</v>
      </c>
      <c r="BC166" s="24">
        <f>AW166+AX166</f>
        <v>0</v>
      </c>
      <c r="BD166" s="24">
        <f>I166/(100-BE166)*100</f>
        <v>0</v>
      </c>
      <c r="BE166" s="24">
        <v>0</v>
      </c>
      <c r="BF166" s="24">
        <f>166</f>
        <v>166</v>
      </c>
      <c r="BH166" s="24">
        <f>H166*AO166</f>
        <v>0</v>
      </c>
      <c r="BI166" s="24">
        <f>H166*AP166</f>
        <v>0</v>
      </c>
      <c r="BJ166" s="24">
        <f>H166*I166</f>
        <v>0</v>
      </c>
      <c r="BK166" s="24"/>
      <c r="BL166" s="24">
        <v>783</v>
      </c>
    </row>
    <row r="167" spans="1:64" ht="15" customHeight="1">
      <c r="A167" s="10"/>
      <c r="C167" s="34" t="s">
        <v>359</v>
      </c>
      <c r="F167" s="34" t="s">
        <v>405</v>
      </c>
      <c r="H167" s="3">
        <v>4.6500000000000004</v>
      </c>
      <c r="M167" s="12"/>
    </row>
    <row r="168" spans="1:64" ht="15" customHeight="1">
      <c r="A168" s="39" t="s">
        <v>334</v>
      </c>
      <c r="B168" s="8" t="s">
        <v>493</v>
      </c>
      <c r="C168" s="55" t="s">
        <v>270</v>
      </c>
      <c r="D168" s="55"/>
      <c r="E168" s="55"/>
      <c r="F168" s="55"/>
      <c r="G168" s="8" t="s">
        <v>556</v>
      </c>
      <c r="H168" s="24">
        <v>4.6500000000000004</v>
      </c>
      <c r="I168" s="24">
        <v>0</v>
      </c>
      <c r="J168" s="24">
        <f>H168*AO168</f>
        <v>0</v>
      </c>
      <c r="K168" s="24">
        <f>H168*AP168</f>
        <v>0</v>
      </c>
      <c r="L168" s="24">
        <f>H168*I168</f>
        <v>0</v>
      </c>
      <c r="M168" s="47" t="s">
        <v>399</v>
      </c>
      <c r="Z168" s="24">
        <f>IF(AQ168="5",BJ168,0)</f>
        <v>0</v>
      </c>
      <c r="AB168" s="24">
        <f>IF(AQ168="1",BH168,0)</f>
        <v>0</v>
      </c>
      <c r="AC168" s="24">
        <f>IF(AQ168="1",BI168,0)</f>
        <v>0</v>
      </c>
      <c r="AD168" s="24">
        <f>IF(AQ168="7",BH168,0)</f>
        <v>0</v>
      </c>
      <c r="AE168" s="24">
        <f>IF(AQ168="7",BI168,0)</f>
        <v>0</v>
      </c>
      <c r="AF168" s="24">
        <f>IF(AQ168="2",BH168,0)</f>
        <v>0</v>
      </c>
      <c r="AG168" s="24">
        <f>IF(AQ168="2",BI168,0)</f>
        <v>0</v>
      </c>
      <c r="AH168" s="24">
        <f>IF(AQ168="0",BJ168,0)</f>
        <v>0</v>
      </c>
      <c r="AI168" s="9" t="s">
        <v>405</v>
      </c>
      <c r="AJ168" s="24">
        <f>IF(AN168=0,L168,0)</f>
        <v>0</v>
      </c>
      <c r="AK168" s="24">
        <f>IF(AN168=15,L168,0)</f>
        <v>0</v>
      </c>
      <c r="AL168" s="24">
        <f>IF(AN168=21,L168,0)</f>
        <v>0</v>
      </c>
      <c r="AN168" s="24">
        <v>21</v>
      </c>
      <c r="AO168" s="24">
        <f>I168*0.128564618644068</f>
        <v>0</v>
      </c>
      <c r="AP168" s="24">
        <f>I168*(1-0.128564618644068)</f>
        <v>0</v>
      </c>
      <c r="AQ168" s="30" t="s">
        <v>566</v>
      </c>
      <c r="AV168" s="24">
        <f>AW168+AX168</f>
        <v>0</v>
      </c>
      <c r="AW168" s="24">
        <f>H168*AO168</f>
        <v>0</v>
      </c>
      <c r="AX168" s="24">
        <f>H168*AP168</f>
        <v>0</v>
      </c>
      <c r="AY168" s="30" t="s">
        <v>139</v>
      </c>
      <c r="AZ168" s="30" t="s">
        <v>256</v>
      </c>
      <c r="BA168" s="9" t="s">
        <v>441</v>
      </c>
      <c r="BC168" s="24">
        <f>AW168+AX168</f>
        <v>0</v>
      </c>
      <c r="BD168" s="24">
        <f>I168/(100-BE168)*100</f>
        <v>0</v>
      </c>
      <c r="BE168" s="24">
        <v>0</v>
      </c>
      <c r="BF168" s="24">
        <f>168</f>
        <v>168</v>
      </c>
      <c r="BH168" s="24">
        <f>H168*AO168</f>
        <v>0</v>
      </c>
      <c r="BI168" s="24">
        <f>H168*AP168</f>
        <v>0</v>
      </c>
      <c r="BJ168" s="24">
        <f>H168*I168</f>
        <v>0</v>
      </c>
      <c r="BK168" s="24"/>
      <c r="BL168" s="24">
        <v>783</v>
      </c>
    </row>
    <row r="169" spans="1:64" ht="15" customHeight="1">
      <c r="A169" s="10"/>
      <c r="C169" s="34" t="s">
        <v>359</v>
      </c>
      <c r="F169" s="34" t="s">
        <v>405</v>
      </c>
      <c r="H169" s="3">
        <v>4.6500000000000004</v>
      </c>
      <c r="M169" s="12"/>
    </row>
    <row r="170" spans="1:64" ht="15" customHeight="1">
      <c r="A170" s="39" t="s">
        <v>266</v>
      </c>
      <c r="B170" s="8" t="s">
        <v>291</v>
      </c>
      <c r="C170" s="55" t="s">
        <v>208</v>
      </c>
      <c r="D170" s="55"/>
      <c r="E170" s="55"/>
      <c r="F170" s="55"/>
      <c r="G170" s="8" t="s">
        <v>556</v>
      </c>
      <c r="H170" s="24">
        <v>4.6500000000000004</v>
      </c>
      <c r="I170" s="24">
        <v>0</v>
      </c>
      <c r="J170" s="24">
        <f>H170*AO170</f>
        <v>0</v>
      </c>
      <c r="K170" s="24">
        <f>H170*AP170</f>
        <v>0</v>
      </c>
      <c r="L170" s="24">
        <f>H170*I170</f>
        <v>0</v>
      </c>
      <c r="M170" s="47" t="s">
        <v>399</v>
      </c>
      <c r="Z170" s="24">
        <f>IF(AQ170="5",BJ170,0)</f>
        <v>0</v>
      </c>
      <c r="AB170" s="24">
        <f>IF(AQ170="1",BH170,0)</f>
        <v>0</v>
      </c>
      <c r="AC170" s="24">
        <f>IF(AQ170="1",BI170,0)</f>
        <v>0</v>
      </c>
      <c r="AD170" s="24">
        <f>IF(AQ170="7",BH170,0)</f>
        <v>0</v>
      </c>
      <c r="AE170" s="24">
        <f>IF(AQ170="7",BI170,0)</f>
        <v>0</v>
      </c>
      <c r="AF170" s="24">
        <f>IF(AQ170="2",BH170,0)</f>
        <v>0</v>
      </c>
      <c r="AG170" s="24">
        <f>IF(AQ170="2",BI170,0)</f>
        <v>0</v>
      </c>
      <c r="AH170" s="24">
        <f>IF(AQ170="0",BJ170,0)</f>
        <v>0</v>
      </c>
      <c r="AI170" s="9" t="s">
        <v>405</v>
      </c>
      <c r="AJ170" s="24">
        <f>IF(AN170=0,L170,0)</f>
        <v>0</v>
      </c>
      <c r="AK170" s="24">
        <f>IF(AN170=15,L170,0)</f>
        <v>0</v>
      </c>
      <c r="AL170" s="24">
        <f>IF(AN170=21,L170,0)</f>
        <v>0</v>
      </c>
      <c r="AN170" s="24">
        <v>21</v>
      </c>
      <c r="AO170" s="24">
        <f>I170*0.480287474332649</f>
        <v>0</v>
      </c>
      <c r="AP170" s="24">
        <f>I170*(1-0.480287474332649)</f>
        <v>0</v>
      </c>
      <c r="AQ170" s="30" t="s">
        <v>566</v>
      </c>
      <c r="AV170" s="24">
        <f>AW170+AX170</f>
        <v>0</v>
      </c>
      <c r="AW170" s="24">
        <f>H170*AO170</f>
        <v>0</v>
      </c>
      <c r="AX170" s="24">
        <f>H170*AP170</f>
        <v>0</v>
      </c>
      <c r="AY170" s="30" t="s">
        <v>139</v>
      </c>
      <c r="AZ170" s="30" t="s">
        <v>256</v>
      </c>
      <c r="BA170" s="9" t="s">
        <v>441</v>
      </c>
      <c r="BC170" s="24">
        <f>AW170+AX170</f>
        <v>0</v>
      </c>
      <c r="BD170" s="24">
        <f>I170/(100-BE170)*100</f>
        <v>0</v>
      </c>
      <c r="BE170" s="24">
        <v>0</v>
      </c>
      <c r="BF170" s="24">
        <f>170</f>
        <v>170</v>
      </c>
      <c r="BH170" s="24">
        <f>H170*AO170</f>
        <v>0</v>
      </c>
      <c r="BI170" s="24">
        <f>H170*AP170</f>
        <v>0</v>
      </c>
      <c r="BJ170" s="24">
        <f>H170*I170</f>
        <v>0</v>
      </c>
      <c r="BK170" s="24"/>
      <c r="BL170" s="24">
        <v>783</v>
      </c>
    </row>
    <row r="171" spans="1:64" ht="15" customHeight="1">
      <c r="A171" s="10"/>
      <c r="C171" s="34" t="s">
        <v>424</v>
      </c>
      <c r="F171" s="34" t="s">
        <v>405</v>
      </c>
      <c r="H171" s="3">
        <v>4.6500000000000004</v>
      </c>
      <c r="M171" s="12"/>
    </row>
    <row r="172" spans="1:64" ht="15" customHeight="1">
      <c r="A172" s="39" t="s">
        <v>70</v>
      </c>
      <c r="B172" s="8" t="s">
        <v>320</v>
      </c>
      <c r="C172" s="55" t="s">
        <v>103</v>
      </c>
      <c r="D172" s="55"/>
      <c r="E172" s="55"/>
      <c r="F172" s="55"/>
      <c r="G172" s="8" t="s">
        <v>556</v>
      </c>
      <c r="H172" s="24">
        <v>4.6500000000000004</v>
      </c>
      <c r="I172" s="24">
        <v>0</v>
      </c>
      <c r="J172" s="24">
        <f>H172*AO172</f>
        <v>0</v>
      </c>
      <c r="K172" s="24">
        <f>H172*AP172</f>
        <v>0</v>
      </c>
      <c r="L172" s="24">
        <f>H172*I172</f>
        <v>0</v>
      </c>
      <c r="M172" s="47" t="s">
        <v>399</v>
      </c>
      <c r="Z172" s="24">
        <f>IF(AQ172="5",BJ172,0)</f>
        <v>0</v>
      </c>
      <c r="AB172" s="24">
        <f>IF(AQ172="1",BH172,0)</f>
        <v>0</v>
      </c>
      <c r="AC172" s="24">
        <f>IF(AQ172="1",BI172,0)</f>
        <v>0</v>
      </c>
      <c r="AD172" s="24">
        <f>IF(AQ172="7",BH172,0)</f>
        <v>0</v>
      </c>
      <c r="AE172" s="24">
        <f>IF(AQ172="7",BI172,0)</f>
        <v>0</v>
      </c>
      <c r="AF172" s="24">
        <f>IF(AQ172="2",BH172,0)</f>
        <v>0</v>
      </c>
      <c r="AG172" s="24">
        <f>IF(AQ172="2",BI172,0)</f>
        <v>0</v>
      </c>
      <c r="AH172" s="24">
        <f>IF(AQ172="0",BJ172,0)</f>
        <v>0</v>
      </c>
      <c r="AI172" s="9" t="s">
        <v>405</v>
      </c>
      <c r="AJ172" s="24">
        <f>IF(AN172=0,L172,0)</f>
        <v>0</v>
      </c>
      <c r="AK172" s="24">
        <f>IF(AN172=15,L172,0)</f>
        <v>0</v>
      </c>
      <c r="AL172" s="24">
        <f>IF(AN172=21,L172,0)</f>
        <v>0</v>
      </c>
      <c r="AN172" s="24">
        <v>21</v>
      </c>
      <c r="AO172" s="24">
        <f>I172*0.602214093184444</f>
        <v>0</v>
      </c>
      <c r="AP172" s="24">
        <f>I172*(1-0.602214093184444)</f>
        <v>0</v>
      </c>
      <c r="AQ172" s="30" t="s">
        <v>566</v>
      </c>
      <c r="AV172" s="24">
        <f>AW172+AX172</f>
        <v>0</v>
      </c>
      <c r="AW172" s="24">
        <f>H172*AO172</f>
        <v>0</v>
      </c>
      <c r="AX172" s="24">
        <f>H172*AP172</f>
        <v>0</v>
      </c>
      <c r="AY172" s="30" t="s">
        <v>139</v>
      </c>
      <c r="AZ172" s="30" t="s">
        <v>256</v>
      </c>
      <c r="BA172" s="9" t="s">
        <v>441</v>
      </c>
      <c r="BC172" s="24">
        <f>AW172+AX172</f>
        <v>0</v>
      </c>
      <c r="BD172" s="24">
        <f>I172/(100-BE172)*100</f>
        <v>0</v>
      </c>
      <c r="BE172" s="24">
        <v>0</v>
      </c>
      <c r="BF172" s="24">
        <f>172</f>
        <v>172</v>
      </c>
      <c r="BH172" s="24">
        <f>H172*AO172</f>
        <v>0</v>
      </c>
      <c r="BI172" s="24">
        <f>H172*AP172</f>
        <v>0</v>
      </c>
      <c r="BJ172" s="24">
        <f>H172*I172</f>
        <v>0</v>
      </c>
      <c r="BK172" s="24"/>
      <c r="BL172" s="24">
        <v>783</v>
      </c>
    </row>
    <row r="173" spans="1:64" ht="15" customHeight="1">
      <c r="A173" s="10"/>
      <c r="C173" s="34" t="s">
        <v>424</v>
      </c>
      <c r="F173" s="34" t="s">
        <v>405</v>
      </c>
      <c r="H173" s="3">
        <v>4.6500000000000004</v>
      </c>
      <c r="M173" s="12"/>
    </row>
    <row r="174" spans="1:64" ht="15" customHeight="1">
      <c r="A174" s="19" t="s">
        <v>405</v>
      </c>
      <c r="B174" s="26" t="s">
        <v>322</v>
      </c>
      <c r="C174" s="70" t="s">
        <v>11</v>
      </c>
      <c r="D174" s="70"/>
      <c r="E174" s="70"/>
      <c r="F174" s="70"/>
      <c r="G174" s="11" t="s">
        <v>529</v>
      </c>
      <c r="H174" s="11" t="s">
        <v>529</v>
      </c>
      <c r="I174" s="11" t="s">
        <v>529</v>
      </c>
      <c r="J174" s="31">
        <f>SUM(J175:J179)</f>
        <v>0</v>
      </c>
      <c r="K174" s="31">
        <f>SUM(K175:K179)</f>
        <v>0</v>
      </c>
      <c r="L174" s="31">
        <f>SUM(L175:L179)</f>
        <v>0</v>
      </c>
      <c r="M174" s="35" t="s">
        <v>405</v>
      </c>
      <c r="AI174" s="9" t="s">
        <v>405</v>
      </c>
      <c r="AS174" s="31">
        <f>SUM(AJ175:AJ179)</f>
        <v>0</v>
      </c>
      <c r="AT174" s="31">
        <f>SUM(AK175:AK179)</f>
        <v>0</v>
      </c>
      <c r="AU174" s="31">
        <f>SUM(AL175:AL179)</f>
        <v>0</v>
      </c>
    </row>
    <row r="175" spans="1:64" ht="15" customHeight="1">
      <c r="A175" s="39" t="s">
        <v>422</v>
      </c>
      <c r="B175" s="8" t="s">
        <v>132</v>
      </c>
      <c r="C175" s="55" t="s">
        <v>512</v>
      </c>
      <c r="D175" s="55"/>
      <c r="E175" s="55"/>
      <c r="F175" s="55"/>
      <c r="G175" s="8" t="s">
        <v>556</v>
      </c>
      <c r="H175" s="24">
        <v>57.994999999999997</v>
      </c>
      <c r="I175" s="24">
        <v>0</v>
      </c>
      <c r="J175" s="24">
        <f>H175*AO175</f>
        <v>0</v>
      </c>
      <c r="K175" s="24">
        <f>H175*AP175</f>
        <v>0</v>
      </c>
      <c r="L175" s="24">
        <f>H175*I175</f>
        <v>0</v>
      </c>
      <c r="M175" s="47" t="s">
        <v>399</v>
      </c>
      <c r="Z175" s="24">
        <f>IF(AQ175="5",BJ175,0)</f>
        <v>0</v>
      </c>
      <c r="AB175" s="24">
        <f>IF(AQ175="1",BH175,0)</f>
        <v>0</v>
      </c>
      <c r="AC175" s="24">
        <f>IF(AQ175="1",BI175,0)</f>
        <v>0</v>
      </c>
      <c r="AD175" s="24">
        <f>IF(AQ175="7",BH175,0)</f>
        <v>0</v>
      </c>
      <c r="AE175" s="24">
        <f>IF(AQ175="7",BI175,0)</f>
        <v>0</v>
      </c>
      <c r="AF175" s="24">
        <f>IF(AQ175="2",BH175,0)</f>
        <v>0</v>
      </c>
      <c r="AG175" s="24">
        <f>IF(AQ175="2",BI175,0)</f>
        <v>0</v>
      </c>
      <c r="AH175" s="24">
        <f>IF(AQ175="0",BJ175,0)</f>
        <v>0</v>
      </c>
      <c r="AI175" s="9" t="s">
        <v>405</v>
      </c>
      <c r="AJ175" s="24">
        <f>IF(AN175=0,L175,0)</f>
        <v>0</v>
      </c>
      <c r="AK175" s="24">
        <f>IF(AN175=15,L175,0)</f>
        <v>0</v>
      </c>
      <c r="AL175" s="24">
        <f>IF(AN175=21,L175,0)</f>
        <v>0</v>
      </c>
      <c r="AN175" s="24">
        <v>21</v>
      </c>
      <c r="AO175" s="24">
        <f>I175*0.431190786409705</f>
        <v>0</v>
      </c>
      <c r="AP175" s="24">
        <f>I175*(1-0.431190786409705)</f>
        <v>0</v>
      </c>
      <c r="AQ175" s="30" t="s">
        <v>566</v>
      </c>
      <c r="AV175" s="24">
        <f>AW175+AX175</f>
        <v>0</v>
      </c>
      <c r="AW175" s="24">
        <f>H175*AO175</f>
        <v>0</v>
      </c>
      <c r="AX175" s="24">
        <f>H175*AP175</f>
        <v>0</v>
      </c>
      <c r="AY175" s="30" t="s">
        <v>508</v>
      </c>
      <c r="AZ175" s="30" t="s">
        <v>256</v>
      </c>
      <c r="BA175" s="9" t="s">
        <v>441</v>
      </c>
      <c r="BC175" s="24">
        <f>AW175+AX175</f>
        <v>0</v>
      </c>
      <c r="BD175" s="24">
        <f>I175/(100-BE175)*100</f>
        <v>0</v>
      </c>
      <c r="BE175" s="24">
        <v>0</v>
      </c>
      <c r="BF175" s="24">
        <f>175</f>
        <v>175</v>
      </c>
      <c r="BH175" s="24">
        <f>H175*AO175</f>
        <v>0</v>
      </c>
      <c r="BI175" s="24">
        <f>H175*AP175</f>
        <v>0</v>
      </c>
      <c r="BJ175" s="24">
        <f>H175*I175</f>
        <v>0</v>
      </c>
      <c r="BK175" s="24"/>
      <c r="BL175" s="24">
        <v>784</v>
      </c>
    </row>
    <row r="176" spans="1:64" ht="15" customHeight="1">
      <c r="A176" s="10"/>
      <c r="C176" s="34" t="s">
        <v>436</v>
      </c>
      <c r="F176" s="34" t="s">
        <v>405</v>
      </c>
      <c r="H176" s="3">
        <v>29.595000000000002</v>
      </c>
      <c r="M176" s="12"/>
    </row>
    <row r="177" spans="1:64" ht="15" customHeight="1">
      <c r="A177" s="10"/>
      <c r="C177" s="34" t="s">
        <v>568</v>
      </c>
      <c r="F177" s="34" t="s">
        <v>405</v>
      </c>
      <c r="H177" s="3">
        <v>28.400000000000002</v>
      </c>
      <c r="M177" s="12"/>
    </row>
    <row r="178" spans="1:64" ht="15" customHeight="1">
      <c r="A178" s="10"/>
      <c r="C178" s="34" t="s">
        <v>14</v>
      </c>
      <c r="F178" s="34" t="s">
        <v>405</v>
      </c>
      <c r="H178" s="3">
        <v>0</v>
      </c>
      <c r="M178" s="12"/>
    </row>
    <row r="179" spans="1:64" ht="15" customHeight="1">
      <c r="A179" s="39" t="s">
        <v>628</v>
      </c>
      <c r="B179" s="8" t="s">
        <v>242</v>
      </c>
      <c r="C179" s="55" t="s">
        <v>453</v>
      </c>
      <c r="D179" s="55"/>
      <c r="E179" s="55"/>
      <c r="F179" s="55"/>
      <c r="G179" s="8" t="s">
        <v>556</v>
      </c>
      <c r="H179" s="24">
        <v>57.994999999999997</v>
      </c>
      <c r="I179" s="24">
        <v>0</v>
      </c>
      <c r="J179" s="24">
        <f>H179*AO179</f>
        <v>0</v>
      </c>
      <c r="K179" s="24">
        <f>H179*AP179</f>
        <v>0</v>
      </c>
      <c r="L179" s="24">
        <f>H179*I179</f>
        <v>0</v>
      </c>
      <c r="M179" s="47" t="s">
        <v>399</v>
      </c>
      <c r="Z179" s="24">
        <f>IF(AQ179="5",BJ179,0)</f>
        <v>0</v>
      </c>
      <c r="AB179" s="24">
        <f>IF(AQ179="1",BH179,0)</f>
        <v>0</v>
      </c>
      <c r="AC179" s="24">
        <f>IF(AQ179="1",BI179,0)</f>
        <v>0</v>
      </c>
      <c r="AD179" s="24">
        <f>IF(AQ179="7",BH179,0)</f>
        <v>0</v>
      </c>
      <c r="AE179" s="24">
        <f>IF(AQ179="7",BI179,0)</f>
        <v>0</v>
      </c>
      <c r="AF179" s="24">
        <f>IF(AQ179="2",BH179,0)</f>
        <v>0</v>
      </c>
      <c r="AG179" s="24">
        <f>IF(AQ179="2",BI179,0)</f>
        <v>0</v>
      </c>
      <c r="AH179" s="24">
        <f>IF(AQ179="0",BJ179,0)</f>
        <v>0</v>
      </c>
      <c r="AI179" s="9" t="s">
        <v>405</v>
      </c>
      <c r="AJ179" s="24">
        <f>IF(AN179=0,L179,0)</f>
        <v>0</v>
      </c>
      <c r="AK179" s="24">
        <f>IF(AN179=15,L179,0)</f>
        <v>0</v>
      </c>
      <c r="AL179" s="24">
        <f>IF(AN179=21,L179,0)</f>
        <v>0</v>
      </c>
      <c r="AN179" s="24">
        <v>21</v>
      </c>
      <c r="AO179" s="24">
        <f>I179*0.304046293281594</f>
        <v>0</v>
      </c>
      <c r="AP179" s="24">
        <f>I179*(1-0.304046293281594)</f>
        <v>0</v>
      </c>
      <c r="AQ179" s="30" t="s">
        <v>566</v>
      </c>
      <c r="AV179" s="24">
        <f>AW179+AX179</f>
        <v>0</v>
      </c>
      <c r="AW179" s="24">
        <f>H179*AO179</f>
        <v>0</v>
      </c>
      <c r="AX179" s="24">
        <f>H179*AP179</f>
        <v>0</v>
      </c>
      <c r="AY179" s="30" t="s">
        <v>508</v>
      </c>
      <c r="AZ179" s="30" t="s">
        <v>256</v>
      </c>
      <c r="BA179" s="9" t="s">
        <v>441</v>
      </c>
      <c r="BC179" s="24">
        <f>AW179+AX179</f>
        <v>0</v>
      </c>
      <c r="BD179" s="24">
        <f>I179/(100-BE179)*100</f>
        <v>0</v>
      </c>
      <c r="BE179" s="24">
        <v>0</v>
      </c>
      <c r="BF179" s="24">
        <f>179</f>
        <v>179</v>
      </c>
      <c r="BH179" s="24">
        <f>H179*AO179</f>
        <v>0</v>
      </c>
      <c r="BI179" s="24">
        <f>H179*AP179</f>
        <v>0</v>
      </c>
      <c r="BJ179" s="24">
        <f>H179*I179</f>
        <v>0</v>
      </c>
      <c r="BK179" s="24"/>
      <c r="BL179" s="24">
        <v>784</v>
      </c>
    </row>
    <row r="180" spans="1:64" ht="15" customHeight="1">
      <c r="A180" s="10"/>
      <c r="C180" s="34" t="s">
        <v>164</v>
      </c>
      <c r="F180" s="34" t="s">
        <v>405</v>
      </c>
      <c r="H180" s="3">
        <v>57.995000000000005</v>
      </c>
      <c r="M180" s="12"/>
    </row>
    <row r="181" spans="1:64" ht="15" customHeight="1">
      <c r="A181" s="19" t="s">
        <v>405</v>
      </c>
      <c r="B181" s="26" t="s">
        <v>283</v>
      </c>
      <c r="C181" s="70" t="s">
        <v>68</v>
      </c>
      <c r="D181" s="70"/>
      <c r="E181" s="70"/>
      <c r="F181" s="70"/>
      <c r="G181" s="11" t="s">
        <v>529</v>
      </c>
      <c r="H181" s="11" t="s">
        <v>529</v>
      </c>
      <c r="I181" s="11" t="s">
        <v>529</v>
      </c>
      <c r="J181" s="31">
        <f>SUM(J182:J215)</f>
        <v>0</v>
      </c>
      <c r="K181" s="31">
        <f>SUM(K182:K215)</f>
        <v>0</v>
      </c>
      <c r="L181" s="31">
        <f>SUM(L182:L215)</f>
        <v>0</v>
      </c>
      <c r="M181" s="35" t="s">
        <v>405</v>
      </c>
      <c r="AI181" s="9" t="s">
        <v>405</v>
      </c>
      <c r="AS181" s="31">
        <f>SUM(AJ182:AJ215)</f>
        <v>0</v>
      </c>
      <c r="AT181" s="31">
        <f>SUM(AK182:AK215)</f>
        <v>0</v>
      </c>
      <c r="AU181" s="31">
        <f>SUM(AL182:AL215)</f>
        <v>0</v>
      </c>
    </row>
    <row r="182" spans="1:64" ht="15" customHeight="1">
      <c r="A182" s="39" t="s">
        <v>137</v>
      </c>
      <c r="B182" s="8" t="s">
        <v>146</v>
      </c>
      <c r="C182" s="55" t="s">
        <v>593</v>
      </c>
      <c r="D182" s="55"/>
      <c r="E182" s="55"/>
      <c r="F182" s="55"/>
      <c r="G182" s="8" t="s">
        <v>143</v>
      </c>
      <c r="H182" s="24">
        <v>7</v>
      </c>
      <c r="I182" s="24">
        <v>0</v>
      </c>
      <c r="J182" s="24">
        <f>H182*AO182</f>
        <v>0</v>
      </c>
      <c r="K182" s="24">
        <f>H182*AP182</f>
        <v>0</v>
      </c>
      <c r="L182" s="24">
        <f>H182*I182</f>
        <v>0</v>
      </c>
      <c r="M182" s="47" t="s">
        <v>399</v>
      </c>
      <c r="Z182" s="24">
        <f>IF(AQ182="5",BJ182,0)</f>
        <v>0</v>
      </c>
      <c r="AB182" s="24">
        <f>IF(AQ182="1",BH182,0)</f>
        <v>0</v>
      </c>
      <c r="AC182" s="24">
        <f>IF(AQ182="1",BI182,0)</f>
        <v>0</v>
      </c>
      <c r="AD182" s="24">
        <f>IF(AQ182="7",BH182,0)</f>
        <v>0</v>
      </c>
      <c r="AE182" s="24">
        <f>IF(AQ182="7",BI182,0)</f>
        <v>0</v>
      </c>
      <c r="AF182" s="24">
        <f>IF(AQ182="2",BH182,0)</f>
        <v>0</v>
      </c>
      <c r="AG182" s="24">
        <f>IF(AQ182="2",BI182,0)</f>
        <v>0</v>
      </c>
      <c r="AH182" s="24">
        <f>IF(AQ182="0",BJ182,0)</f>
        <v>0</v>
      </c>
      <c r="AI182" s="9" t="s">
        <v>405</v>
      </c>
      <c r="AJ182" s="24">
        <f>IF(AN182=0,L182,0)</f>
        <v>0</v>
      </c>
      <c r="AK182" s="24">
        <f>IF(AN182=15,L182,0)</f>
        <v>0</v>
      </c>
      <c r="AL182" s="24">
        <f>IF(AN182=21,L182,0)</f>
        <v>0</v>
      </c>
      <c r="AN182" s="24">
        <v>21</v>
      </c>
      <c r="AO182" s="24">
        <f>I182*0.000031496062992126</f>
        <v>0</v>
      </c>
      <c r="AP182" s="24">
        <f>I182*(1-0.000031496062992126)</f>
        <v>0</v>
      </c>
      <c r="AQ182" s="30" t="s">
        <v>563</v>
      </c>
      <c r="AV182" s="24">
        <f>AW182+AX182</f>
        <v>0</v>
      </c>
      <c r="AW182" s="24">
        <f>H182*AO182</f>
        <v>0</v>
      </c>
      <c r="AX182" s="24">
        <f>H182*AP182</f>
        <v>0</v>
      </c>
      <c r="AY182" s="30" t="s">
        <v>497</v>
      </c>
      <c r="AZ182" s="30" t="s">
        <v>487</v>
      </c>
      <c r="BA182" s="9" t="s">
        <v>441</v>
      </c>
      <c r="BC182" s="24">
        <f>AW182+AX182</f>
        <v>0</v>
      </c>
      <c r="BD182" s="24">
        <f>I182/(100-BE182)*100</f>
        <v>0</v>
      </c>
      <c r="BE182" s="24">
        <v>0</v>
      </c>
      <c r="BF182" s="24">
        <f>182</f>
        <v>182</v>
      </c>
      <c r="BH182" s="24">
        <f>H182*AO182</f>
        <v>0</v>
      </c>
      <c r="BI182" s="24">
        <f>H182*AP182</f>
        <v>0</v>
      </c>
      <c r="BJ182" s="24">
        <f>H182*I182</f>
        <v>0</v>
      </c>
      <c r="BK182" s="24"/>
      <c r="BL182" s="24">
        <v>85</v>
      </c>
    </row>
    <row r="183" spans="1:64" ht="15" customHeight="1">
      <c r="A183" s="10"/>
      <c r="C183" s="34" t="s">
        <v>330</v>
      </c>
      <c r="F183" s="34" t="s">
        <v>405</v>
      </c>
      <c r="H183" s="3">
        <v>2</v>
      </c>
      <c r="M183" s="12"/>
    </row>
    <row r="184" spans="1:64" ht="15" customHeight="1">
      <c r="A184" s="10"/>
      <c r="C184" s="34" t="s">
        <v>400</v>
      </c>
      <c r="F184" s="34" t="s">
        <v>405</v>
      </c>
      <c r="H184" s="3">
        <v>2</v>
      </c>
      <c r="M184" s="12"/>
    </row>
    <row r="185" spans="1:64" ht="15" customHeight="1">
      <c r="A185" s="10"/>
      <c r="C185" s="34" t="s">
        <v>388</v>
      </c>
      <c r="F185" s="34" t="s">
        <v>405</v>
      </c>
      <c r="H185" s="3">
        <v>2</v>
      </c>
      <c r="M185" s="12"/>
    </row>
    <row r="186" spans="1:64" ht="15" customHeight="1">
      <c r="A186" s="10"/>
      <c r="C186" s="34" t="s">
        <v>366</v>
      </c>
      <c r="F186" s="34" t="s">
        <v>405</v>
      </c>
      <c r="H186" s="3">
        <v>1</v>
      </c>
      <c r="M186" s="12"/>
    </row>
    <row r="187" spans="1:64" ht="15" customHeight="1">
      <c r="A187" s="39" t="s">
        <v>286</v>
      </c>
      <c r="B187" s="8" t="s">
        <v>338</v>
      </c>
      <c r="C187" s="55" t="s">
        <v>120</v>
      </c>
      <c r="D187" s="55"/>
      <c r="E187" s="55"/>
      <c r="F187" s="55"/>
      <c r="G187" s="8" t="s">
        <v>143</v>
      </c>
      <c r="H187" s="24">
        <v>2</v>
      </c>
      <c r="I187" s="24">
        <v>0</v>
      </c>
      <c r="J187" s="24">
        <f>H187*AO187</f>
        <v>0</v>
      </c>
      <c r="K187" s="24">
        <f>H187*AP187</f>
        <v>0</v>
      </c>
      <c r="L187" s="24">
        <f>H187*I187</f>
        <v>0</v>
      </c>
      <c r="M187" s="47" t="s">
        <v>405</v>
      </c>
      <c r="Z187" s="24">
        <f>IF(AQ187="5",BJ187,0)</f>
        <v>0</v>
      </c>
      <c r="AB187" s="24">
        <f>IF(AQ187="1",BH187,0)</f>
        <v>0</v>
      </c>
      <c r="AC187" s="24">
        <f>IF(AQ187="1",BI187,0)</f>
        <v>0</v>
      </c>
      <c r="AD187" s="24">
        <f>IF(AQ187="7",BH187,0)</f>
        <v>0</v>
      </c>
      <c r="AE187" s="24">
        <f>IF(AQ187="7",BI187,0)</f>
        <v>0</v>
      </c>
      <c r="AF187" s="24">
        <f>IF(AQ187="2",BH187,0)</f>
        <v>0</v>
      </c>
      <c r="AG187" s="24">
        <f>IF(AQ187="2",BI187,0)</f>
        <v>0</v>
      </c>
      <c r="AH187" s="24">
        <f>IF(AQ187="0",BJ187,0)</f>
        <v>0</v>
      </c>
      <c r="AI187" s="9" t="s">
        <v>405</v>
      </c>
      <c r="AJ187" s="24">
        <f>IF(AN187=0,L187,0)</f>
        <v>0</v>
      </c>
      <c r="AK187" s="24">
        <f>IF(AN187=15,L187,0)</f>
        <v>0</v>
      </c>
      <c r="AL187" s="24">
        <f>IF(AN187=21,L187,0)</f>
        <v>0</v>
      </c>
      <c r="AN187" s="24">
        <v>21</v>
      </c>
      <c r="AO187" s="24">
        <f>I187*1</f>
        <v>0</v>
      </c>
      <c r="AP187" s="24">
        <f>I187*(1-1)</f>
        <v>0</v>
      </c>
      <c r="AQ187" s="30" t="s">
        <v>563</v>
      </c>
      <c r="AV187" s="24">
        <f>AW187+AX187</f>
        <v>0</v>
      </c>
      <c r="AW187" s="24">
        <f>H187*AO187</f>
        <v>0</v>
      </c>
      <c r="AX187" s="24">
        <f>H187*AP187</f>
        <v>0</v>
      </c>
      <c r="AY187" s="30" t="s">
        <v>497</v>
      </c>
      <c r="AZ187" s="30" t="s">
        <v>487</v>
      </c>
      <c r="BA187" s="9" t="s">
        <v>441</v>
      </c>
      <c r="BC187" s="24">
        <f>AW187+AX187</f>
        <v>0</v>
      </c>
      <c r="BD187" s="24">
        <f>I187/(100-BE187)*100</f>
        <v>0</v>
      </c>
      <c r="BE187" s="24">
        <v>0</v>
      </c>
      <c r="BF187" s="24">
        <f>187</f>
        <v>187</v>
      </c>
      <c r="BH187" s="24">
        <f>H187*AO187</f>
        <v>0</v>
      </c>
      <c r="BI187" s="24">
        <f>H187*AP187</f>
        <v>0</v>
      </c>
      <c r="BJ187" s="24">
        <f>H187*I187</f>
        <v>0</v>
      </c>
      <c r="BK187" s="24"/>
      <c r="BL187" s="24">
        <v>85</v>
      </c>
    </row>
    <row r="188" spans="1:64" ht="15" customHeight="1">
      <c r="A188" s="39" t="s">
        <v>626</v>
      </c>
      <c r="B188" s="8" t="s">
        <v>214</v>
      </c>
      <c r="C188" s="55" t="s">
        <v>479</v>
      </c>
      <c r="D188" s="55"/>
      <c r="E188" s="55"/>
      <c r="F188" s="55"/>
      <c r="G188" s="8" t="s">
        <v>143</v>
      </c>
      <c r="H188" s="24">
        <v>2</v>
      </c>
      <c r="I188" s="24">
        <v>0</v>
      </c>
      <c r="J188" s="24">
        <f>H188*AO188</f>
        <v>0</v>
      </c>
      <c r="K188" s="24">
        <f>H188*AP188</f>
        <v>0</v>
      </c>
      <c r="L188" s="24">
        <f>H188*I188</f>
        <v>0</v>
      </c>
      <c r="M188" s="47" t="s">
        <v>405</v>
      </c>
      <c r="Z188" s="24">
        <f>IF(AQ188="5",BJ188,0)</f>
        <v>0</v>
      </c>
      <c r="AB188" s="24">
        <f>IF(AQ188="1",BH188,0)</f>
        <v>0</v>
      </c>
      <c r="AC188" s="24">
        <f>IF(AQ188="1",BI188,0)</f>
        <v>0</v>
      </c>
      <c r="AD188" s="24">
        <f>IF(AQ188="7",BH188,0)</f>
        <v>0</v>
      </c>
      <c r="AE188" s="24">
        <f>IF(AQ188="7",BI188,0)</f>
        <v>0</v>
      </c>
      <c r="AF188" s="24">
        <f>IF(AQ188="2",BH188,0)</f>
        <v>0</v>
      </c>
      <c r="AG188" s="24">
        <f>IF(AQ188="2",BI188,0)</f>
        <v>0</v>
      </c>
      <c r="AH188" s="24">
        <f>IF(AQ188="0",BJ188,0)</f>
        <v>0</v>
      </c>
      <c r="AI188" s="9" t="s">
        <v>405</v>
      </c>
      <c r="AJ188" s="24">
        <f>IF(AN188=0,L188,0)</f>
        <v>0</v>
      </c>
      <c r="AK188" s="24">
        <f>IF(AN188=15,L188,0)</f>
        <v>0</v>
      </c>
      <c r="AL188" s="24">
        <f>IF(AN188=21,L188,0)</f>
        <v>0</v>
      </c>
      <c r="AN188" s="24">
        <v>21</v>
      </c>
      <c r="AO188" s="24">
        <f>I188*1</f>
        <v>0</v>
      </c>
      <c r="AP188" s="24">
        <f>I188*(1-1)</f>
        <v>0</v>
      </c>
      <c r="AQ188" s="30" t="s">
        <v>563</v>
      </c>
      <c r="AV188" s="24">
        <f>AW188+AX188</f>
        <v>0</v>
      </c>
      <c r="AW188" s="24">
        <f>H188*AO188</f>
        <v>0</v>
      </c>
      <c r="AX188" s="24">
        <f>H188*AP188</f>
        <v>0</v>
      </c>
      <c r="AY188" s="30" t="s">
        <v>497</v>
      </c>
      <c r="AZ188" s="30" t="s">
        <v>487</v>
      </c>
      <c r="BA188" s="9" t="s">
        <v>441</v>
      </c>
      <c r="BC188" s="24">
        <f>AW188+AX188</f>
        <v>0</v>
      </c>
      <c r="BD188" s="24">
        <f>I188/(100-BE188)*100</f>
        <v>0</v>
      </c>
      <c r="BE188" s="24">
        <v>0</v>
      </c>
      <c r="BF188" s="24">
        <f>188</f>
        <v>188</v>
      </c>
      <c r="BH188" s="24">
        <f>H188*AO188</f>
        <v>0</v>
      </c>
      <c r="BI188" s="24">
        <f>H188*AP188</f>
        <v>0</v>
      </c>
      <c r="BJ188" s="24">
        <f>H188*I188</f>
        <v>0</v>
      </c>
      <c r="BK188" s="24"/>
      <c r="BL188" s="24">
        <v>85</v>
      </c>
    </row>
    <row r="189" spans="1:64" ht="15" customHeight="1">
      <c r="A189" s="39" t="s">
        <v>589</v>
      </c>
      <c r="B189" s="8" t="s">
        <v>127</v>
      </c>
      <c r="C189" s="55" t="s">
        <v>157</v>
      </c>
      <c r="D189" s="55"/>
      <c r="E189" s="55"/>
      <c r="F189" s="55"/>
      <c r="G189" s="8" t="s">
        <v>143</v>
      </c>
      <c r="H189" s="24">
        <v>2</v>
      </c>
      <c r="I189" s="24">
        <v>0</v>
      </c>
      <c r="J189" s="24">
        <f>H189*AO189</f>
        <v>0</v>
      </c>
      <c r="K189" s="24">
        <f>H189*AP189</f>
        <v>0</v>
      </c>
      <c r="L189" s="24">
        <f>H189*I189</f>
        <v>0</v>
      </c>
      <c r="M189" s="47" t="s">
        <v>405</v>
      </c>
      <c r="Z189" s="24">
        <f>IF(AQ189="5",BJ189,0)</f>
        <v>0</v>
      </c>
      <c r="AB189" s="24">
        <f>IF(AQ189="1",BH189,0)</f>
        <v>0</v>
      </c>
      <c r="AC189" s="24">
        <f>IF(AQ189="1",BI189,0)</f>
        <v>0</v>
      </c>
      <c r="AD189" s="24">
        <f>IF(AQ189="7",BH189,0)</f>
        <v>0</v>
      </c>
      <c r="AE189" s="24">
        <f>IF(AQ189="7",BI189,0)</f>
        <v>0</v>
      </c>
      <c r="AF189" s="24">
        <f>IF(AQ189="2",BH189,0)</f>
        <v>0</v>
      </c>
      <c r="AG189" s="24">
        <f>IF(AQ189="2",BI189,0)</f>
        <v>0</v>
      </c>
      <c r="AH189" s="24">
        <f>IF(AQ189="0",BJ189,0)</f>
        <v>0</v>
      </c>
      <c r="AI189" s="9" t="s">
        <v>405</v>
      </c>
      <c r="AJ189" s="24">
        <f>IF(AN189=0,L189,0)</f>
        <v>0</v>
      </c>
      <c r="AK189" s="24">
        <f>IF(AN189=15,L189,0)</f>
        <v>0</v>
      </c>
      <c r="AL189" s="24">
        <f>IF(AN189=21,L189,0)</f>
        <v>0</v>
      </c>
      <c r="AN189" s="24">
        <v>21</v>
      </c>
      <c r="AO189" s="24">
        <f>I189*1</f>
        <v>0</v>
      </c>
      <c r="AP189" s="24">
        <f>I189*(1-1)</f>
        <v>0</v>
      </c>
      <c r="AQ189" s="30" t="s">
        <v>563</v>
      </c>
      <c r="AV189" s="24">
        <f>AW189+AX189</f>
        <v>0</v>
      </c>
      <c r="AW189" s="24">
        <f>H189*AO189</f>
        <v>0</v>
      </c>
      <c r="AX189" s="24">
        <f>H189*AP189</f>
        <v>0</v>
      </c>
      <c r="AY189" s="30" t="s">
        <v>497</v>
      </c>
      <c r="AZ189" s="30" t="s">
        <v>487</v>
      </c>
      <c r="BA189" s="9" t="s">
        <v>441</v>
      </c>
      <c r="BC189" s="24">
        <f>AW189+AX189</f>
        <v>0</v>
      </c>
      <c r="BD189" s="24">
        <f>I189/(100-BE189)*100</f>
        <v>0</v>
      </c>
      <c r="BE189" s="24">
        <v>0</v>
      </c>
      <c r="BF189" s="24">
        <f>189</f>
        <v>189</v>
      </c>
      <c r="BH189" s="24">
        <f>H189*AO189</f>
        <v>0</v>
      </c>
      <c r="BI189" s="24">
        <f>H189*AP189</f>
        <v>0</v>
      </c>
      <c r="BJ189" s="24">
        <f>H189*I189</f>
        <v>0</v>
      </c>
      <c r="BK189" s="24"/>
      <c r="BL189" s="24">
        <v>85</v>
      </c>
    </row>
    <row r="190" spans="1:64" ht="15" customHeight="1">
      <c r="A190" s="39" t="s">
        <v>8</v>
      </c>
      <c r="B190" s="8" t="s">
        <v>357</v>
      </c>
      <c r="C190" s="55" t="s">
        <v>611</v>
      </c>
      <c r="D190" s="55"/>
      <c r="E190" s="55"/>
      <c r="F190" s="55"/>
      <c r="G190" s="8" t="s">
        <v>143</v>
      </c>
      <c r="H190" s="24">
        <v>1</v>
      </c>
      <c r="I190" s="24">
        <v>0</v>
      </c>
      <c r="J190" s="24">
        <f>H190*AO190</f>
        <v>0</v>
      </c>
      <c r="K190" s="24">
        <f>H190*AP190</f>
        <v>0</v>
      </c>
      <c r="L190" s="24">
        <f>H190*I190</f>
        <v>0</v>
      </c>
      <c r="M190" s="47" t="s">
        <v>405</v>
      </c>
      <c r="Z190" s="24">
        <f>IF(AQ190="5",BJ190,0)</f>
        <v>0</v>
      </c>
      <c r="AB190" s="24">
        <f>IF(AQ190="1",BH190,0)</f>
        <v>0</v>
      </c>
      <c r="AC190" s="24">
        <f>IF(AQ190="1",BI190,0)</f>
        <v>0</v>
      </c>
      <c r="AD190" s="24">
        <f>IF(AQ190="7",BH190,0)</f>
        <v>0</v>
      </c>
      <c r="AE190" s="24">
        <f>IF(AQ190="7",BI190,0)</f>
        <v>0</v>
      </c>
      <c r="AF190" s="24">
        <f>IF(AQ190="2",BH190,0)</f>
        <v>0</v>
      </c>
      <c r="AG190" s="24">
        <f>IF(AQ190="2",BI190,0)</f>
        <v>0</v>
      </c>
      <c r="AH190" s="24">
        <f>IF(AQ190="0",BJ190,0)</f>
        <v>0</v>
      </c>
      <c r="AI190" s="9" t="s">
        <v>405</v>
      </c>
      <c r="AJ190" s="24">
        <f>IF(AN190=0,L190,0)</f>
        <v>0</v>
      </c>
      <c r="AK190" s="24">
        <f>IF(AN190=15,L190,0)</f>
        <v>0</v>
      </c>
      <c r="AL190" s="24">
        <f>IF(AN190=21,L190,0)</f>
        <v>0</v>
      </c>
      <c r="AN190" s="24">
        <v>21</v>
      </c>
      <c r="AO190" s="24">
        <f>I190*1</f>
        <v>0</v>
      </c>
      <c r="AP190" s="24">
        <f>I190*(1-1)</f>
        <v>0</v>
      </c>
      <c r="AQ190" s="30" t="s">
        <v>563</v>
      </c>
      <c r="AV190" s="24">
        <f>AW190+AX190</f>
        <v>0</v>
      </c>
      <c r="AW190" s="24">
        <f>H190*AO190</f>
        <v>0</v>
      </c>
      <c r="AX190" s="24">
        <f>H190*AP190</f>
        <v>0</v>
      </c>
      <c r="AY190" s="30" t="s">
        <v>497</v>
      </c>
      <c r="AZ190" s="30" t="s">
        <v>487</v>
      </c>
      <c r="BA190" s="9" t="s">
        <v>441</v>
      </c>
      <c r="BC190" s="24">
        <f>AW190+AX190</f>
        <v>0</v>
      </c>
      <c r="BD190" s="24">
        <f>I190/(100-BE190)*100</f>
        <v>0</v>
      </c>
      <c r="BE190" s="24">
        <v>0</v>
      </c>
      <c r="BF190" s="24">
        <f>190</f>
        <v>190</v>
      </c>
      <c r="BH190" s="24">
        <f>H190*AO190</f>
        <v>0</v>
      </c>
      <c r="BI190" s="24">
        <f>H190*AP190</f>
        <v>0</v>
      </c>
      <c r="BJ190" s="24">
        <f>H190*I190</f>
        <v>0</v>
      </c>
      <c r="BK190" s="24"/>
      <c r="BL190" s="24">
        <v>85</v>
      </c>
    </row>
    <row r="191" spans="1:64" ht="15" customHeight="1">
      <c r="A191" s="39" t="s">
        <v>98</v>
      </c>
      <c r="B191" s="8" t="s">
        <v>444</v>
      </c>
      <c r="C191" s="55" t="s">
        <v>190</v>
      </c>
      <c r="D191" s="55"/>
      <c r="E191" s="55"/>
      <c r="F191" s="55"/>
      <c r="G191" s="8" t="s">
        <v>143</v>
      </c>
      <c r="H191" s="24">
        <v>22</v>
      </c>
      <c r="I191" s="24">
        <v>0</v>
      </c>
      <c r="J191" s="24">
        <f>H191*AO191</f>
        <v>0</v>
      </c>
      <c r="K191" s="24">
        <f>H191*AP191</f>
        <v>0</v>
      </c>
      <c r="L191" s="24">
        <f>H191*I191</f>
        <v>0</v>
      </c>
      <c r="M191" s="47" t="s">
        <v>399</v>
      </c>
      <c r="Z191" s="24">
        <f>IF(AQ191="5",BJ191,0)</f>
        <v>0</v>
      </c>
      <c r="AB191" s="24">
        <f>IF(AQ191="1",BH191,0)</f>
        <v>0</v>
      </c>
      <c r="AC191" s="24">
        <f>IF(AQ191="1",BI191,0)</f>
        <v>0</v>
      </c>
      <c r="AD191" s="24">
        <f>IF(AQ191="7",BH191,0)</f>
        <v>0</v>
      </c>
      <c r="AE191" s="24">
        <f>IF(AQ191="7",BI191,0)</f>
        <v>0</v>
      </c>
      <c r="AF191" s="24">
        <f>IF(AQ191="2",BH191,0)</f>
        <v>0</v>
      </c>
      <c r="AG191" s="24">
        <f>IF(AQ191="2",BI191,0)</f>
        <v>0</v>
      </c>
      <c r="AH191" s="24">
        <f>IF(AQ191="0",BJ191,0)</f>
        <v>0</v>
      </c>
      <c r="AI191" s="9" t="s">
        <v>405</v>
      </c>
      <c r="AJ191" s="24">
        <f>IF(AN191=0,L191,0)</f>
        <v>0</v>
      </c>
      <c r="AK191" s="24">
        <f>IF(AN191=15,L191,0)</f>
        <v>0</v>
      </c>
      <c r="AL191" s="24">
        <f>IF(AN191=21,L191,0)</f>
        <v>0</v>
      </c>
      <c r="AN191" s="24">
        <v>21</v>
      </c>
      <c r="AO191" s="24">
        <f>I191*0.00002</f>
        <v>0</v>
      </c>
      <c r="AP191" s="24">
        <f>I191*(1-0.00002)</f>
        <v>0</v>
      </c>
      <c r="AQ191" s="30" t="s">
        <v>563</v>
      </c>
      <c r="AV191" s="24">
        <f>AW191+AX191</f>
        <v>0</v>
      </c>
      <c r="AW191" s="24">
        <f>H191*AO191</f>
        <v>0</v>
      </c>
      <c r="AX191" s="24">
        <f>H191*AP191</f>
        <v>0</v>
      </c>
      <c r="AY191" s="30" t="s">
        <v>497</v>
      </c>
      <c r="AZ191" s="30" t="s">
        <v>487</v>
      </c>
      <c r="BA191" s="9" t="s">
        <v>441</v>
      </c>
      <c r="BC191" s="24">
        <f>AW191+AX191</f>
        <v>0</v>
      </c>
      <c r="BD191" s="24">
        <f>I191/(100-BE191)*100</f>
        <v>0</v>
      </c>
      <c r="BE191" s="24">
        <v>0</v>
      </c>
      <c r="BF191" s="24">
        <f>191</f>
        <v>191</v>
      </c>
      <c r="BH191" s="24">
        <f>H191*AO191</f>
        <v>0</v>
      </c>
      <c r="BI191" s="24">
        <f>H191*AP191</f>
        <v>0</v>
      </c>
      <c r="BJ191" s="24">
        <f>H191*I191</f>
        <v>0</v>
      </c>
      <c r="BK191" s="24"/>
      <c r="BL191" s="24">
        <v>85</v>
      </c>
    </row>
    <row r="192" spans="1:64" ht="15" customHeight="1">
      <c r="A192" s="10"/>
      <c r="C192" s="34" t="s">
        <v>308</v>
      </c>
      <c r="F192" s="34" t="s">
        <v>405</v>
      </c>
      <c r="H192" s="3">
        <v>1</v>
      </c>
      <c r="M192" s="12"/>
    </row>
    <row r="193" spans="1:64" ht="15" customHeight="1">
      <c r="A193" s="10"/>
      <c r="C193" s="34" t="s">
        <v>374</v>
      </c>
      <c r="F193" s="34" t="s">
        <v>405</v>
      </c>
      <c r="H193" s="3">
        <v>2</v>
      </c>
      <c r="M193" s="12"/>
    </row>
    <row r="194" spans="1:64" ht="15" customHeight="1">
      <c r="A194" s="10"/>
      <c r="C194" s="34" t="s">
        <v>443</v>
      </c>
      <c r="F194" s="34" t="s">
        <v>405</v>
      </c>
      <c r="H194" s="3">
        <v>7.0000000000000009</v>
      </c>
      <c r="M194" s="12"/>
    </row>
    <row r="195" spans="1:64" ht="15" customHeight="1">
      <c r="A195" s="10"/>
      <c r="C195" s="34" t="s">
        <v>201</v>
      </c>
      <c r="F195" s="34" t="s">
        <v>405</v>
      </c>
      <c r="H195" s="3">
        <v>2</v>
      </c>
      <c r="M195" s="12"/>
    </row>
    <row r="196" spans="1:64" ht="15" customHeight="1">
      <c r="A196" s="10"/>
      <c r="C196" s="34" t="s">
        <v>584</v>
      </c>
      <c r="F196" s="34" t="s">
        <v>405</v>
      </c>
      <c r="H196" s="3">
        <v>4</v>
      </c>
      <c r="M196" s="12"/>
    </row>
    <row r="197" spans="1:64" ht="15" customHeight="1">
      <c r="A197" s="10"/>
      <c r="C197" s="34" t="s">
        <v>588</v>
      </c>
      <c r="F197" s="34" t="s">
        <v>405</v>
      </c>
      <c r="H197" s="3">
        <v>4</v>
      </c>
      <c r="M197" s="12"/>
    </row>
    <row r="198" spans="1:64" ht="15" customHeight="1">
      <c r="A198" s="10"/>
      <c r="C198" s="34" t="s">
        <v>348</v>
      </c>
      <c r="F198" s="34" t="s">
        <v>405</v>
      </c>
      <c r="H198" s="3">
        <v>2</v>
      </c>
      <c r="M198" s="12"/>
    </row>
    <row r="199" spans="1:64" ht="15" customHeight="1">
      <c r="A199" s="39" t="s">
        <v>124</v>
      </c>
      <c r="B199" s="8" t="s">
        <v>61</v>
      </c>
      <c r="C199" s="55" t="s">
        <v>249</v>
      </c>
      <c r="D199" s="55"/>
      <c r="E199" s="55"/>
      <c r="F199" s="55"/>
      <c r="G199" s="8" t="s">
        <v>143</v>
      </c>
      <c r="H199" s="24">
        <v>1</v>
      </c>
      <c r="I199" s="24">
        <v>0</v>
      </c>
      <c r="J199" s="24">
        <f t="shared" ref="J199:J206" si="0">H199*AO199</f>
        <v>0</v>
      </c>
      <c r="K199" s="24">
        <f t="shared" ref="K199:K206" si="1">H199*AP199</f>
        <v>0</v>
      </c>
      <c r="L199" s="24">
        <f t="shared" ref="L199:L206" si="2">H199*I199</f>
        <v>0</v>
      </c>
      <c r="M199" s="47" t="s">
        <v>405</v>
      </c>
      <c r="Z199" s="24">
        <f t="shared" ref="Z199:Z206" si="3">IF(AQ199="5",BJ199,0)</f>
        <v>0</v>
      </c>
      <c r="AB199" s="24">
        <f t="shared" ref="AB199:AB206" si="4">IF(AQ199="1",BH199,0)</f>
        <v>0</v>
      </c>
      <c r="AC199" s="24">
        <f t="shared" ref="AC199:AC206" si="5">IF(AQ199="1",BI199,0)</f>
        <v>0</v>
      </c>
      <c r="AD199" s="24">
        <f t="shared" ref="AD199:AD206" si="6">IF(AQ199="7",BH199,0)</f>
        <v>0</v>
      </c>
      <c r="AE199" s="24">
        <f t="shared" ref="AE199:AE206" si="7">IF(AQ199="7",BI199,0)</f>
        <v>0</v>
      </c>
      <c r="AF199" s="24">
        <f t="shared" ref="AF199:AF206" si="8">IF(AQ199="2",BH199,0)</f>
        <v>0</v>
      </c>
      <c r="AG199" s="24">
        <f t="shared" ref="AG199:AG206" si="9">IF(AQ199="2",BI199,0)</f>
        <v>0</v>
      </c>
      <c r="AH199" s="24">
        <f t="shared" ref="AH199:AH206" si="10">IF(AQ199="0",BJ199,0)</f>
        <v>0</v>
      </c>
      <c r="AI199" s="9" t="s">
        <v>405</v>
      </c>
      <c r="AJ199" s="24">
        <f t="shared" ref="AJ199:AJ206" si="11">IF(AN199=0,L199,0)</f>
        <v>0</v>
      </c>
      <c r="AK199" s="24">
        <f t="shared" ref="AK199:AK206" si="12">IF(AN199=15,L199,0)</f>
        <v>0</v>
      </c>
      <c r="AL199" s="24">
        <f t="shared" ref="AL199:AL206" si="13">IF(AN199=21,L199,0)</f>
        <v>0</v>
      </c>
      <c r="AN199" s="24">
        <v>21</v>
      </c>
      <c r="AO199" s="24">
        <f t="shared" ref="AO199:AO205" si="14">I199*1</f>
        <v>0</v>
      </c>
      <c r="AP199" s="24">
        <f t="shared" ref="AP199:AP205" si="15">I199*(1-1)</f>
        <v>0</v>
      </c>
      <c r="AQ199" s="30" t="s">
        <v>563</v>
      </c>
      <c r="AV199" s="24">
        <f t="shared" ref="AV199:AV206" si="16">AW199+AX199</f>
        <v>0</v>
      </c>
      <c r="AW199" s="24">
        <f t="shared" ref="AW199:AW206" si="17">H199*AO199</f>
        <v>0</v>
      </c>
      <c r="AX199" s="24">
        <f t="shared" ref="AX199:AX206" si="18">H199*AP199</f>
        <v>0</v>
      </c>
      <c r="AY199" s="30" t="s">
        <v>497</v>
      </c>
      <c r="AZ199" s="30" t="s">
        <v>487</v>
      </c>
      <c r="BA199" s="9" t="s">
        <v>441</v>
      </c>
      <c r="BC199" s="24">
        <f t="shared" ref="BC199:BC206" si="19">AW199+AX199</f>
        <v>0</v>
      </c>
      <c r="BD199" s="24">
        <f t="shared" ref="BD199:BD206" si="20">I199/(100-BE199)*100</f>
        <v>0</v>
      </c>
      <c r="BE199" s="24">
        <v>0</v>
      </c>
      <c r="BF199" s="24">
        <f>199</f>
        <v>199</v>
      </c>
      <c r="BH199" s="24">
        <f t="shared" ref="BH199:BH206" si="21">H199*AO199</f>
        <v>0</v>
      </c>
      <c r="BI199" s="24">
        <f t="shared" ref="BI199:BI206" si="22">H199*AP199</f>
        <v>0</v>
      </c>
      <c r="BJ199" s="24">
        <f t="shared" ref="BJ199:BJ206" si="23">H199*I199</f>
        <v>0</v>
      </c>
      <c r="BK199" s="24"/>
      <c r="BL199" s="24">
        <v>85</v>
      </c>
    </row>
    <row r="200" spans="1:64" ht="15" customHeight="1">
      <c r="A200" s="39" t="s">
        <v>452</v>
      </c>
      <c r="B200" s="8" t="s">
        <v>440</v>
      </c>
      <c r="C200" s="55" t="s">
        <v>532</v>
      </c>
      <c r="D200" s="55"/>
      <c r="E200" s="55"/>
      <c r="F200" s="55"/>
      <c r="G200" s="8" t="s">
        <v>143</v>
      </c>
      <c r="H200" s="24">
        <v>2</v>
      </c>
      <c r="I200" s="24">
        <v>0</v>
      </c>
      <c r="J200" s="24">
        <f t="shared" si="0"/>
        <v>0</v>
      </c>
      <c r="K200" s="24">
        <f t="shared" si="1"/>
        <v>0</v>
      </c>
      <c r="L200" s="24">
        <f t="shared" si="2"/>
        <v>0</v>
      </c>
      <c r="M200" s="47" t="s">
        <v>405</v>
      </c>
      <c r="Z200" s="24">
        <f t="shared" si="3"/>
        <v>0</v>
      </c>
      <c r="AB200" s="24">
        <f t="shared" si="4"/>
        <v>0</v>
      </c>
      <c r="AC200" s="24">
        <f t="shared" si="5"/>
        <v>0</v>
      </c>
      <c r="AD200" s="24">
        <f t="shared" si="6"/>
        <v>0</v>
      </c>
      <c r="AE200" s="24">
        <f t="shared" si="7"/>
        <v>0</v>
      </c>
      <c r="AF200" s="24">
        <f t="shared" si="8"/>
        <v>0</v>
      </c>
      <c r="AG200" s="24">
        <f t="shared" si="9"/>
        <v>0</v>
      </c>
      <c r="AH200" s="24">
        <f t="shared" si="10"/>
        <v>0</v>
      </c>
      <c r="AI200" s="9" t="s">
        <v>405</v>
      </c>
      <c r="AJ200" s="24">
        <f t="shared" si="11"/>
        <v>0</v>
      </c>
      <c r="AK200" s="24">
        <f t="shared" si="12"/>
        <v>0</v>
      </c>
      <c r="AL200" s="24">
        <f t="shared" si="13"/>
        <v>0</v>
      </c>
      <c r="AN200" s="24">
        <v>21</v>
      </c>
      <c r="AO200" s="24">
        <f t="shared" si="14"/>
        <v>0</v>
      </c>
      <c r="AP200" s="24">
        <f t="shared" si="15"/>
        <v>0</v>
      </c>
      <c r="AQ200" s="30" t="s">
        <v>563</v>
      </c>
      <c r="AV200" s="24">
        <f t="shared" si="16"/>
        <v>0</v>
      </c>
      <c r="AW200" s="24">
        <f t="shared" si="17"/>
        <v>0</v>
      </c>
      <c r="AX200" s="24">
        <f t="shared" si="18"/>
        <v>0</v>
      </c>
      <c r="AY200" s="30" t="s">
        <v>497</v>
      </c>
      <c r="AZ200" s="30" t="s">
        <v>487</v>
      </c>
      <c r="BA200" s="9" t="s">
        <v>441</v>
      </c>
      <c r="BC200" s="24">
        <f t="shared" si="19"/>
        <v>0</v>
      </c>
      <c r="BD200" s="24">
        <f t="shared" si="20"/>
        <v>0</v>
      </c>
      <c r="BE200" s="24">
        <v>0</v>
      </c>
      <c r="BF200" s="24">
        <f>200</f>
        <v>200</v>
      </c>
      <c r="BH200" s="24">
        <f t="shared" si="21"/>
        <v>0</v>
      </c>
      <c r="BI200" s="24">
        <f t="shared" si="22"/>
        <v>0</v>
      </c>
      <c r="BJ200" s="24">
        <f t="shared" si="23"/>
        <v>0</v>
      </c>
      <c r="BK200" s="24"/>
      <c r="BL200" s="24">
        <v>85</v>
      </c>
    </row>
    <row r="201" spans="1:64" ht="15" customHeight="1">
      <c r="A201" s="39" t="s">
        <v>51</v>
      </c>
      <c r="B201" s="8" t="s">
        <v>93</v>
      </c>
      <c r="C201" s="55" t="s">
        <v>75</v>
      </c>
      <c r="D201" s="55"/>
      <c r="E201" s="55"/>
      <c r="F201" s="55"/>
      <c r="G201" s="8" t="s">
        <v>143</v>
      </c>
      <c r="H201" s="24">
        <v>7</v>
      </c>
      <c r="I201" s="24">
        <v>0</v>
      </c>
      <c r="J201" s="24">
        <f t="shared" si="0"/>
        <v>0</v>
      </c>
      <c r="K201" s="24">
        <f t="shared" si="1"/>
        <v>0</v>
      </c>
      <c r="L201" s="24">
        <f t="shared" si="2"/>
        <v>0</v>
      </c>
      <c r="M201" s="47" t="s">
        <v>405</v>
      </c>
      <c r="Z201" s="24">
        <f t="shared" si="3"/>
        <v>0</v>
      </c>
      <c r="AB201" s="24">
        <f t="shared" si="4"/>
        <v>0</v>
      </c>
      <c r="AC201" s="24">
        <f t="shared" si="5"/>
        <v>0</v>
      </c>
      <c r="AD201" s="24">
        <f t="shared" si="6"/>
        <v>0</v>
      </c>
      <c r="AE201" s="24">
        <f t="shared" si="7"/>
        <v>0</v>
      </c>
      <c r="AF201" s="24">
        <f t="shared" si="8"/>
        <v>0</v>
      </c>
      <c r="AG201" s="24">
        <f t="shared" si="9"/>
        <v>0</v>
      </c>
      <c r="AH201" s="24">
        <f t="shared" si="10"/>
        <v>0</v>
      </c>
      <c r="AI201" s="9" t="s">
        <v>405</v>
      </c>
      <c r="AJ201" s="24">
        <f t="shared" si="11"/>
        <v>0</v>
      </c>
      <c r="AK201" s="24">
        <f t="shared" si="12"/>
        <v>0</v>
      </c>
      <c r="AL201" s="24">
        <f t="shared" si="13"/>
        <v>0</v>
      </c>
      <c r="AN201" s="24">
        <v>21</v>
      </c>
      <c r="AO201" s="24">
        <f t="shared" si="14"/>
        <v>0</v>
      </c>
      <c r="AP201" s="24">
        <f t="shared" si="15"/>
        <v>0</v>
      </c>
      <c r="AQ201" s="30" t="s">
        <v>563</v>
      </c>
      <c r="AV201" s="24">
        <f t="shared" si="16"/>
        <v>0</v>
      </c>
      <c r="AW201" s="24">
        <f t="shared" si="17"/>
        <v>0</v>
      </c>
      <c r="AX201" s="24">
        <f t="shared" si="18"/>
        <v>0</v>
      </c>
      <c r="AY201" s="30" t="s">
        <v>497</v>
      </c>
      <c r="AZ201" s="30" t="s">
        <v>487</v>
      </c>
      <c r="BA201" s="9" t="s">
        <v>441</v>
      </c>
      <c r="BC201" s="24">
        <f t="shared" si="19"/>
        <v>0</v>
      </c>
      <c r="BD201" s="24">
        <f t="shared" si="20"/>
        <v>0</v>
      </c>
      <c r="BE201" s="24">
        <v>0</v>
      </c>
      <c r="BF201" s="24">
        <f>201</f>
        <v>201</v>
      </c>
      <c r="BH201" s="24">
        <f t="shared" si="21"/>
        <v>0</v>
      </c>
      <c r="BI201" s="24">
        <f t="shared" si="22"/>
        <v>0</v>
      </c>
      <c r="BJ201" s="24">
        <f t="shared" si="23"/>
        <v>0</v>
      </c>
      <c r="BK201" s="24"/>
      <c r="BL201" s="24">
        <v>85</v>
      </c>
    </row>
    <row r="202" spans="1:64" ht="15" customHeight="1">
      <c r="A202" s="39" t="s">
        <v>448</v>
      </c>
      <c r="B202" s="8" t="s">
        <v>13</v>
      </c>
      <c r="C202" s="55" t="s">
        <v>141</v>
      </c>
      <c r="D202" s="55"/>
      <c r="E202" s="55"/>
      <c r="F202" s="55"/>
      <c r="G202" s="8" t="s">
        <v>143</v>
      </c>
      <c r="H202" s="24">
        <v>2</v>
      </c>
      <c r="I202" s="24">
        <v>0</v>
      </c>
      <c r="J202" s="24">
        <f t="shared" si="0"/>
        <v>0</v>
      </c>
      <c r="K202" s="24">
        <f t="shared" si="1"/>
        <v>0</v>
      </c>
      <c r="L202" s="24">
        <f t="shared" si="2"/>
        <v>0</v>
      </c>
      <c r="M202" s="47" t="s">
        <v>405</v>
      </c>
      <c r="Z202" s="24">
        <f t="shared" si="3"/>
        <v>0</v>
      </c>
      <c r="AB202" s="24">
        <f t="shared" si="4"/>
        <v>0</v>
      </c>
      <c r="AC202" s="24">
        <f t="shared" si="5"/>
        <v>0</v>
      </c>
      <c r="AD202" s="24">
        <f t="shared" si="6"/>
        <v>0</v>
      </c>
      <c r="AE202" s="24">
        <f t="shared" si="7"/>
        <v>0</v>
      </c>
      <c r="AF202" s="24">
        <f t="shared" si="8"/>
        <v>0</v>
      </c>
      <c r="AG202" s="24">
        <f t="shared" si="9"/>
        <v>0</v>
      </c>
      <c r="AH202" s="24">
        <f t="shared" si="10"/>
        <v>0</v>
      </c>
      <c r="AI202" s="9" t="s">
        <v>405</v>
      </c>
      <c r="AJ202" s="24">
        <f t="shared" si="11"/>
        <v>0</v>
      </c>
      <c r="AK202" s="24">
        <f t="shared" si="12"/>
        <v>0</v>
      </c>
      <c r="AL202" s="24">
        <f t="shared" si="13"/>
        <v>0</v>
      </c>
      <c r="AN202" s="24">
        <v>21</v>
      </c>
      <c r="AO202" s="24">
        <f t="shared" si="14"/>
        <v>0</v>
      </c>
      <c r="AP202" s="24">
        <f t="shared" si="15"/>
        <v>0</v>
      </c>
      <c r="AQ202" s="30" t="s">
        <v>563</v>
      </c>
      <c r="AV202" s="24">
        <f t="shared" si="16"/>
        <v>0</v>
      </c>
      <c r="AW202" s="24">
        <f t="shared" si="17"/>
        <v>0</v>
      </c>
      <c r="AX202" s="24">
        <f t="shared" si="18"/>
        <v>0</v>
      </c>
      <c r="AY202" s="30" t="s">
        <v>497</v>
      </c>
      <c r="AZ202" s="30" t="s">
        <v>487</v>
      </c>
      <c r="BA202" s="9" t="s">
        <v>441</v>
      </c>
      <c r="BC202" s="24">
        <f t="shared" si="19"/>
        <v>0</v>
      </c>
      <c r="BD202" s="24">
        <f t="shared" si="20"/>
        <v>0</v>
      </c>
      <c r="BE202" s="24">
        <v>0</v>
      </c>
      <c r="BF202" s="24">
        <f>202</f>
        <v>202</v>
      </c>
      <c r="BH202" s="24">
        <f t="shared" si="21"/>
        <v>0</v>
      </c>
      <c r="BI202" s="24">
        <f t="shared" si="22"/>
        <v>0</v>
      </c>
      <c r="BJ202" s="24">
        <f t="shared" si="23"/>
        <v>0</v>
      </c>
      <c r="BK202" s="24"/>
      <c r="BL202" s="24">
        <v>85</v>
      </c>
    </row>
    <row r="203" spans="1:64" ht="15" customHeight="1">
      <c r="A203" s="39" t="s">
        <v>354</v>
      </c>
      <c r="B203" s="8" t="s">
        <v>570</v>
      </c>
      <c r="C203" s="55" t="s">
        <v>34</v>
      </c>
      <c r="D203" s="55"/>
      <c r="E203" s="55"/>
      <c r="F203" s="55"/>
      <c r="G203" s="8" t="s">
        <v>143</v>
      </c>
      <c r="H203" s="24">
        <v>4</v>
      </c>
      <c r="I203" s="24">
        <v>0</v>
      </c>
      <c r="J203" s="24">
        <f t="shared" si="0"/>
        <v>0</v>
      </c>
      <c r="K203" s="24">
        <f t="shared" si="1"/>
        <v>0</v>
      </c>
      <c r="L203" s="24">
        <f t="shared" si="2"/>
        <v>0</v>
      </c>
      <c r="M203" s="47" t="s">
        <v>405</v>
      </c>
      <c r="Z203" s="24">
        <f t="shared" si="3"/>
        <v>0</v>
      </c>
      <c r="AB203" s="24">
        <f t="shared" si="4"/>
        <v>0</v>
      </c>
      <c r="AC203" s="24">
        <f t="shared" si="5"/>
        <v>0</v>
      </c>
      <c r="AD203" s="24">
        <f t="shared" si="6"/>
        <v>0</v>
      </c>
      <c r="AE203" s="24">
        <f t="shared" si="7"/>
        <v>0</v>
      </c>
      <c r="AF203" s="24">
        <f t="shared" si="8"/>
        <v>0</v>
      </c>
      <c r="AG203" s="24">
        <f t="shared" si="9"/>
        <v>0</v>
      </c>
      <c r="AH203" s="24">
        <f t="shared" si="10"/>
        <v>0</v>
      </c>
      <c r="AI203" s="9" t="s">
        <v>405</v>
      </c>
      <c r="AJ203" s="24">
        <f t="shared" si="11"/>
        <v>0</v>
      </c>
      <c r="AK203" s="24">
        <f t="shared" si="12"/>
        <v>0</v>
      </c>
      <c r="AL203" s="24">
        <f t="shared" si="13"/>
        <v>0</v>
      </c>
      <c r="AN203" s="24">
        <v>21</v>
      </c>
      <c r="AO203" s="24">
        <f t="shared" si="14"/>
        <v>0</v>
      </c>
      <c r="AP203" s="24">
        <f t="shared" si="15"/>
        <v>0</v>
      </c>
      <c r="AQ203" s="30" t="s">
        <v>563</v>
      </c>
      <c r="AV203" s="24">
        <f t="shared" si="16"/>
        <v>0</v>
      </c>
      <c r="AW203" s="24">
        <f t="shared" si="17"/>
        <v>0</v>
      </c>
      <c r="AX203" s="24">
        <f t="shared" si="18"/>
        <v>0</v>
      </c>
      <c r="AY203" s="30" t="s">
        <v>497</v>
      </c>
      <c r="AZ203" s="30" t="s">
        <v>487</v>
      </c>
      <c r="BA203" s="9" t="s">
        <v>441</v>
      </c>
      <c r="BC203" s="24">
        <f t="shared" si="19"/>
        <v>0</v>
      </c>
      <c r="BD203" s="24">
        <f t="shared" si="20"/>
        <v>0</v>
      </c>
      <c r="BE203" s="24">
        <v>0</v>
      </c>
      <c r="BF203" s="24">
        <f>203</f>
        <v>203</v>
      </c>
      <c r="BH203" s="24">
        <f t="shared" si="21"/>
        <v>0</v>
      </c>
      <c r="BI203" s="24">
        <f t="shared" si="22"/>
        <v>0</v>
      </c>
      <c r="BJ203" s="24">
        <f t="shared" si="23"/>
        <v>0</v>
      </c>
      <c r="BK203" s="24"/>
      <c r="BL203" s="24">
        <v>85</v>
      </c>
    </row>
    <row r="204" spans="1:64" ht="15" customHeight="1">
      <c r="A204" s="39" t="s">
        <v>573</v>
      </c>
      <c r="B204" s="8" t="s">
        <v>27</v>
      </c>
      <c r="C204" s="55" t="s">
        <v>542</v>
      </c>
      <c r="D204" s="55"/>
      <c r="E204" s="55"/>
      <c r="F204" s="55"/>
      <c r="G204" s="8" t="s">
        <v>143</v>
      </c>
      <c r="H204" s="24">
        <v>4</v>
      </c>
      <c r="I204" s="24">
        <v>0</v>
      </c>
      <c r="J204" s="24">
        <f t="shared" si="0"/>
        <v>0</v>
      </c>
      <c r="K204" s="24">
        <f t="shared" si="1"/>
        <v>0</v>
      </c>
      <c r="L204" s="24">
        <f t="shared" si="2"/>
        <v>0</v>
      </c>
      <c r="M204" s="47" t="s">
        <v>405</v>
      </c>
      <c r="Z204" s="24">
        <f t="shared" si="3"/>
        <v>0</v>
      </c>
      <c r="AB204" s="24">
        <f t="shared" si="4"/>
        <v>0</v>
      </c>
      <c r="AC204" s="24">
        <f t="shared" si="5"/>
        <v>0</v>
      </c>
      <c r="AD204" s="24">
        <f t="shared" si="6"/>
        <v>0</v>
      </c>
      <c r="AE204" s="24">
        <f t="shared" si="7"/>
        <v>0</v>
      </c>
      <c r="AF204" s="24">
        <f t="shared" si="8"/>
        <v>0</v>
      </c>
      <c r="AG204" s="24">
        <f t="shared" si="9"/>
        <v>0</v>
      </c>
      <c r="AH204" s="24">
        <f t="shared" si="10"/>
        <v>0</v>
      </c>
      <c r="AI204" s="9" t="s">
        <v>405</v>
      </c>
      <c r="AJ204" s="24">
        <f t="shared" si="11"/>
        <v>0</v>
      </c>
      <c r="AK204" s="24">
        <f t="shared" si="12"/>
        <v>0</v>
      </c>
      <c r="AL204" s="24">
        <f t="shared" si="13"/>
        <v>0</v>
      </c>
      <c r="AN204" s="24">
        <v>21</v>
      </c>
      <c r="AO204" s="24">
        <f t="shared" si="14"/>
        <v>0</v>
      </c>
      <c r="AP204" s="24">
        <f t="shared" si="15"/>
        <v>0</v>
      </c>
      <c r="AQ204" s="30" t="s">
        <v>563</v>
      </c>
      <c r="AV204" s="24">
        <f t="shared" si="16"/>
        <v>0</v>
      </c>
      <c r="AW204" s="24">
        <f t="shared" si="17"/>
        <v>0</v>
      </c>
      <c r="AX204" s="24">
        <f t="shared" si="18"/>
        <v>0</v>
      </c>
      <c r="AY204" s="30" t="s">
        <v>497</v>
      </c>
      <c r="AZ204" s="30" t="s">
        <v>487</v>
      </c>
      <c r="BA204" s="9" t="s">
        <v>441</v>
      </c>
      <c r="BC204" s="24">
        <f t="shared" si="19"/>
        <v>0</v>
      </c>
      <c r="BD204" s="24">
        <f t="shared" si="20"/>
        <v>0</v>
      </c>
      <c r="BE204" s="24">
        <v>0</v>
      </c>
      <c r="BF204" s="24">
        <f>204</f>
        <v>204</v>
      </c>
      <c r="BH204" s="24">
        <f t="shared" si="21"/>
        <v>0</v>
      </c>
      <c r="BI204" s="24">
        <f t="shared" si="22"/>
        <v>0</v>
      </c>
      <c r="BJ204" s="24">
        <f t="shared" si="23"/>
        <v>0</v>
      </c>
      <c r="BK204" s="24"/>
      <c r="BL204" s="24">
        <v>85</v>
      </c>
    </row>
    <row r="205" spans="1:64" ht="15" customHeight="1">
      <c r="A205" s="39" t="s">
        <v>527</v>
      </c>
      <c r="B205" s="8" t="s">
        <v>437</v>
      </c>
      <c r="C205" s="55" t="s">
        <v>381</v>
      </c>
      <c r="D205" s="55"/>
      <c r="E205" s="55"/>
      <c r="F205" s="55"/>
      <c r="G205" s="8" t="s">
        <v>143</v>
      </c>
      <c r="H205" s="24">
        <v>2</v>
      </c>
      <c r="I205" s="24">
        <v>0</v>
      </c>
      <c r="J205" s="24">
        <f t="shared" si="0"/>
        <v>0</v>
      </c>
      <c r="K205" s="24">
        <f t="shared" si="1"/>
        <v>0</v>
      </c>
      <c r="L205" s="24">
        <f t="shared" si="2"/>
        <v>0</v>
      </c>
      <c r="M205" s="47" t="s">
        <v>405</v>
      </c>
      <c r="Z205" s="24">
        <f t="shared" si="3"/>
        <v>0</v>
      </c>
      <c r="AB205" s="24">
        <f t="shared" si="4"/>
        <v>0</v>
      </c>
      <c r="AC205" s="24">
        <f t="shared" si="5"/>
        <v>0</v>
      </c>
      <c r="AD205" s="24">
        <f t="shared" si="6"/>
        <v>0</v>
      </c>
      <c r="AE205" s="24">
        <f t="shared" si="7"/>
        <v>0</v>
      </c>
      <c r="AF205" s="24">
        <f t="shared" si="8"/>
        <v>0</v>
      </c>
      <c r="AG205" s="24">
        <f t="shared" si="9"/>
        <v>0</v>
      </c>
      <c r="AH205" s="24">
        <f t="shared" si="10"/>
        <v>0</v>
      </c>
      <c r="AI205" s="9" t="s">
        <v>405</v>
      </c>
      <c r="AJ205" s="24">
        <f t="shared" si="11"/>
        <v>0</v>
      </c>
      <c r="AK205" s="24">
        <f t="shared" si="12"/>
        <v>0</v>
      </c>
      <c r="AL205" s="24">
        <f t="shared" si="13"/>
        <v>0</v>
      </c>
      <c r="AN205" s="24">
        <v>21</v>
      </c>
      <c r="AO205" s="24">
        <f t="shared" si="14"/>
        <v>0</v>
      </c>
      <c r="AP205" s="24">
        <f t="shared" si="15"/>
        <v>0</v>
      </c>
      <c r="AQ205" s="30" t="s">
        <v>563</v>
      </c>
      <c r="AV205" s="24">
        <f t="shared" si="16"/>
        <v>0</v>
      </c>
      <c r="AW205" s="24">
        <f t="shared" si="17"/>
        <v>0</v>
      </c>
      <c r="AX205" s="24">
        <f t="shared" si="18"/>
        <v>0</v>
      </c>
      <c r="AY205" s="30" t="s">
        <v>497</v>
      </c>
      <c r="AZ205" s="30" t="s">
        <v>487</v>
      </c>
      <c r="BA205" s="9" t="s">
        <v>441</v>
      </c>
      <c r="BC205" s="24">
        <f t="shared" si="19"/>
        <v>0</v>
      </c>
      <c r="BD205" s="24">
        <f t="shared" si="20"/>
        <v>0</v>
      </c>
      <c r="BE205" s="24">
        <v>0</v>
      </c>
      <c r="BF205" s="24">
        <f>205</f>
        <v>205</v>
      </c>
      <c r="BH205" s="24">
        <f t="shared" si="21"/>
        <v>0</v>
      </c>
      <c r="BI205" s="24">
        <f t="shared" si="22"/>
        <v>0</v>
      </c>
      <c r="BJ205" s="24">
        <f t="shared" si="23"/>
        <v>0</v>
      </c>
      <c r="BK205" s="24"/>
      <c r="BL205" s="24">
        <v>85</v>
      </c>
    </row>
    <row r="206" spans="1:64" ht="15" customHeight="1">
      <c r="A206" s="39" t="s">
        <v>389</v>
      </c>
      <c r="B206" s="8" t="s">
        <v>284</v>
      </c>
      <c r="C206" s="55" t="s">
        <v>316</v>
      </c>
      <c r="D206" s="55"/>
      <c r="E206" s="55"/>
      <c r="F206" s="55"/>
      <c r="G206" s="8" t="s">
        <v>143</v>
      </c>
      <c r="H206" s="24">
        <v>5</v>
      </c>
      <c r="I206" s="24">
        <v>0</v>
      </c>
      <c r="J206" s="24">
        <f t="shared" si="0"/>
        <v>0</v>
      </c>
      <c r="K206" s="24">
        <f t="shared" si="1"/>
        <v>0</v>
      </c>
      <c r="L206" s="24">
        <f t="shared" si="2"/>
        <v>0</v>
      </c>
      <c r="M206" s="47" t="s">
        <v>399</v>
      </c>
      <c r="Z206" s="24">
        <f t="shared" si="3"/>
        <v>0</v>
      </c>
      <c r="AB206" s="24">
        <f t="shared" si="4"/>
        <v>0</v>
      </c>
      <c r="AC206" s="24">
        <f t="shared" si="5"/>
        <v>0</v>
      </c>
      <c r="AD206" s="24">
        <f t="shared" si="6"/>
        <v>0</v>
      </c>
      <c r="AE206" s="24">
        <f t="shared" si="7"/>
        <v>0</v>
      </c>
      <c r="AF206" s="24">
        <f t="shared" si="8"/>
        <v>0</v>
      </c>
      <c r="AG206" s="24">
        <f t="shared" si="9"/>
        <v>0</v>
      </c>
      <c r="AH206" s="24">
        <f t="shared" si="10"/>
        <v>0</v>
      </c>
      <c r="AI206" s="9" t="s">
        <v>405</v>
      </c>
      <c r="AJ206" s="24">
        <f t="shared" si="11"/>
        <v>0</v>
      </c>
      <c r="AK206" s="24">
        <f t="shared" si="12"/>
        <v>0</v>
      </c>
      <c r="AL206" s="24">
        <f t="shared" si="13"/>
        <v>0</v>
      </c>
      <c r="AN206" s="24">
        <v>21</v>
      </c>
      <c r="AO206" s="24">
        <f>I206*0.0000190234622701332</f>
        <v>0</v>
      </c>
      <c r="AP206" s="24">
        <f>I206*(1-0.0000190234622701332)</f>
        <v>0</v>
      </c>
      <c r="AQ206" s="30" t="s">
        <v>563</v>
      </c>
      <c r="AV206" s="24">
        <f t="shared" si="16"/>
        <v>0</v>
      </c>
      <c r="AW206" s="24">
        <f t="shared" si="17"/>
        <v>0</v>
      </c>
      <c r="AX206" s="24">
        <f t="shared" si="18"/>
        <v>0</v>
      </c>
      <c r="AY206" s="30" t="s">
        <v>497</v>
      </c>
      <c r="AZ206" s="30" t="s">
        <v>487</v>
      </c>
      <c r="BA206" s="9" t="s">
        <v>441</v>
      </c>
      <c r="BC206" s="24">
        <f t="shared" si="19"/>
        <v>0</v>
      </c>
      <c r="BD206" s="24">
        <f t="shared" si="20"/>
        <v>0</v>
      </c>
      <c r="BE206" s="24">
        <v>0</v>
      </c>
      <c r="BF206" s="24">
        <f>206</f>
        <v>206</v>
      </c>
      <c r="BH206" s="24">
        <f t="shared" si="21"/>
        <v>0</v>
      </c>
      <c r="BI206" s="24">
        <f t="shared" si="22"/>
        <v>0</v>
      </c>
      <c r="BJ206" s="24">
        <f t="shared" si="23"/>
        <v>0</v>
      </c>
      <c r="BK206" s="24"/>
      <c r="BL206" s="24">
        <v>85</v>
      </c>
    </row>
    <row r="207" spans="1:64" ht="15" customHeight="1">
      <c r="A207" s="10"/>
      <c r="C207" s="34" t="s">
        <v>619</v>
      </c>
      <c r="F207" s="34" t="s">
        <v>405</v>
      </c>
      <c r="H207" s="3">
        <v>2</v>
      </c>
      <c r="M207" s="12"/>
    </row>
    <row r="208" spans="1:64" ht="15" customHeight="1">
      <c r="A208" s="10"/>
      <c r="C208" s="34" t="s">
        <v>373</v>
      </c>
      <c r="F208" s="34" t="s">
        <v>405</v>
      </c>
      <c r="H208" s="3">
        <v>3.0000000000000004</v>
      </c>
      <c r="M208" s="12"/>
    </row>
    <row r="209" spans="1:64" ht="15" customHeight="1">
      <c r="A209" s="39" t="s">
        <v>295</v>
      </c>
      <c r="B209" s="8" t="s">
        <v>392</v>
      </c>
      <c r="C209" s="55" t="s">
        <v>87</v>
      </c>
      <c r="D209" s="55"/>
      <c r="E209" s="55"/>
      <c r="F209" s="55"/>
      <c r="G209" s="8" t="s">
        <v>143</v>
      </c>
      <c r="H209" s="24">
        <v>2</v>
      </c>
      <c r="I209" s="24">
        <v>0</v>
      </c>
      <c r="J209" s="24">
        <f>H209*AO209</f>
        <v>0</v>
      </c>
      <c r="K209" s="24">
        <f>H209*AP209</f>
        <v>0</v>
      </c>
      <c r="L209" s="24">
        <f>H209*I209</f>
        <v>0</v>
      </c>
      <c r="M209" s="47" t="s">
        <v>405</v>
      </c>
      <c r="Z209" s="24">
        <f>IF(AQ209="5",BJ209,0)</f>
        <v>0</v>
      </c>
      <c r="AB209" s="24">
        <f>IF(AQ209="1",BH209,0)</f>
        <v>0</v>
      </c>
      <c r="AC209" s="24">
        <f>IF(AQ209="1",BI209,0)</f>
        <v>0</v>
      </c>
      <c r="AD209" s="24">
        <f>IF(AQ209="7",BH209,0)</f>
        <v>0</v>
      </c>
      <c r="AE209" s="24">
        <f>IF(AQ209="7",BI209,0)</f>
        <v>0</v>
      </c>
      <c r="AF209" s="24">
        <f>IF(AQ209="2",BH209,0)</f>
        <v>0</v>
      </c>
      <c r="AG209" s="24">
        <f>IF(AQ209="2",BI209,0)</f>
        <v>0</v>
      </c>
      <c r="AH209" s="24">
        <f>IF(AQ209="0",BJ209,0)</f>
        <v>0</v>
      </c>
      <c r="AI209" s="9" t="s">
        <v>405</v>
      </c>
      <c r="AJ209" s="24">
        <f>IF(AN209=0,L209,0)</f>
        <v>0</v>
      </c>
      <c r="AK209" s="24">
        <f>IF(AN209=15,L209,0)</f>
        <v>0</v>
      </c>
      <c r="AL209" s="24">
        <f>IF(AN209=21,L209,0)</f>
        <v>0</v>
      </c>
      <c r="AN209" s="24">
        <v>21</v>
      </c>
      <c r="AO209" s="24">
        <f>I209*1</f>
        <v>0</v>
      </c>
      <c r="AP209" s="24">
        <f>I209*(1-1)</f>
        <v>0</v>
      </c>
      <c r="AQ209" s="30" t="s">
        <v>563</v>
      </c>
      <c r="AV209" s="24">
        <f>AW209+AX209</f>
        <v>0</v>
      </c>
      <c r="AW209" s="24">
        <f>H209*AO209</f>
        <v>0</v>
      </c>
      <c r="AX209" s="24">
        <f>H209*AP209</f>
        <v>0</v>
      </c>
      <c r="AY209" s="30" t="s">
        <v>497</v>
      </c>
      <c r="AZ209" s="30" t="s">
        <v>487</v>
      </c>
      <c r="BA209" s="9" t="s">
        <v>441</v>
      </c>
      <c r="BC209" s="24">
        <f>AW209+AX209</f>
        <v>0</v>
      </c>
      <c r="BD209" s="24">
        <f>I209/(100-BE209)*100</f>
        <v>0</v>
      </c>
      <c r="BE209" s="24">
        <v>0</v>
      </c>
      <c r="BF209" s="24">
        <f>209</f>
        <v>209</v>
      </c>
      <c r="BH209" s="24">
        <f>H209*AO209</f>
        <v>0</v>
      </c>
      <c r="BI209" s="24">
        <f>H209*AP209</f>
        <v>0</v>
      </c>
      <c r="BJ209" s="24">
        <f>H209*I209</f>
        <v>0</v>
      </c>
      <c r="BK209" s="24"/>
      <c r="BL209" s="24">
        <v>85</v>
      </c>
    </row>
    <row r="210" spans="1:64" ht="15" customHeight="1">
      <c r="A210" s="39" t="s">
        <v>133</v>
      </c>
      <c r="B210" s="8" t="s">
        <v>491</v>
      </c>
      <c r="C210" s="55" t="s">
        <v>41</v>
      </c>
      <c r="D210" s="55"/>
      <c r="E210" s="55"/>
      <c r="F210" s="55"/>
      <c r="G210" s="8" t="s">
        <v>143</v>
      </c>
      <c r="H210" s="24">
        <v>3</v>
      </c>
      <c r="I210" s="24">
        <v>0</v>
      </c>
      <c r="J210" s="24">
        <f>H210*AO210</f>
        <v>0</v>
      </c>
      <c r="K210" s="24">
        <f>H210*AP210</f>
        <v>0</v>
      </c>
      <c r="L210" s="24">
        <f>H210*I210</f>
        <v>0</v>
      </c>
      <c r="M210" s="47" t="s">
        <v>405</v>
      </c>
      <c r="Z210" s="24">
        <f>IF(AQ210="5",BJ210,0)</f>
        <v>0</v>
      </c>
      <c r="AB210" s="24">
        <f>IF(AQ210="1",BH210,0)</f>
        <v>0</v>
      </c>
      <c r="AC210" s="24">
        <f>IF(AQ210="1",BI210,0)</f>
        <v>0</v>
      </c>
      <c r="AD210" s="24">
        <f>IF(AQ210="7",BH210,0)</f>
        <v>0</v>
      </c>
      <c r="AE210" s="24">
        <f>IF(AQ210="7",BI210,0)</f>
        <v>0</v>
      </c>
      <c r="AF210" s="24">
        <f>IF(AQ210="2",BH210,0)</f>
        <v>0</v>
      </c>
      <c r="AG210" s="24">
        <f>IF(AQ210="2",BI210,0)</f>
        <v>0</v>
      </c>
      <c r="AH210" s="24">
        <f>IF(AQ210="0",BJ210,0)</f>
        <v>0</v>
      </c>
      <c r="AI210" s="9" t="s">
        <v>405</v>
      </c>
      <c r="AJ210" s="24">
        <f>IF(AN210=0,L210,0)</f>
        <v>0</v>
      </c>
      <c r="AK210" s="24">
        <f>IF(AN210=15,L210,0)</f>
        <v>0</v>
      </c>
      <c r="AL210" s="24">
        <f>IF(AN210=21,L210,0)</f>
        <v>0</v>
      </c>
      <c r="AN210" s="24">
        <v>21</v>
      </c>
      <c r="AO210" s="24">
        <f>I210*1</f>
        <v>0</v>
      </c>
      <c r="AP210" s="24">
        <f>I210*(1-1)</f>
        <v>0</v>
      </c>
      <c r="AQ210" s="30" t="s">
        <v>563</v>
      </c>
      <c r="AV210" s="24">
        <f>AW210+AX210</f>
        <v>0</v>
      </c>
      <c r="AW210" s="24">
        <f>H210*AO210</f>
        <v>0</v>
      </c>
      <c r="AX210" s="24">
        <f>H210*AP210</f>
        <v>0</v>
      </c>
      <c r="AY210" s="30" t="s">
        <v>497</v>
      </c>
      <c r="AZ210" s="30" t="s">
        <v>487</v>
      </c>
      <c r="BA210" s="9" t="s">
        <v>441</v>
      </c>
      <c r="BC210" s="24">
        <f>AW210+AX210</f>
        <v>0</v>
      </c>
      <c r="BD210" s="24">
        <f>I210/(100-BE210)*100</f>
        <v>0</v>
      </c>
      <c r="BE210" s="24">
        <v>0</v>
      </c>
      <c r="BF210" s="24">
        <f>210</f>
        <v>210</v>
      </c>
      <c r="BH210" s="24">
        <f>H210*AO210</f>
        <v>0</v>
      </c>
      <c r="BI210" s="24">
        <f>H210*AP210</f>
        <v>0</v>
      </c>
      <c r="BJ210" s="24">
        <f>H210*I210</f>
        <v>0</v>
      </c>
      <c r="BK210" s="24"/>
      <c r="BL210" s="24">
        <v>85</v>
      </c>
    </row>
    <row r="211" spans="1:64" ht="15" customHeight="1">
      <c r="A211" s="39" t="s">
        <v>50</v>
      </c>
      <c r="B211" s="8" t="s">
        <v>622</v>
      </c>
      <c r="C211" s="55" t="s">
        <v>615</v>
      </c>
      <c r="D211" s="55"/>
      <c r="E211" s="55"/>
      <c r="F211" s="55"/>
      <c r="G211" s="8" t="s">
        <v>143</v>
      </c>
      <c r="H211" s="24">
        <v>4</v>
      </c>
      <c r="I211" s="24">
        <v>0</v>
      </c>
      <c r="J211" s="24">
        <f>H211*AO211</f>
        <v>0</v>
      </c>
      <c r="K211" s="24">
        <f>H211*AP211</f>
        <v>0</v>
      </c>
      <c r="L211" s="24">
        <f>H211*I211</f>
        <v>0</v>
      </c>
      <c r="M211" s="47" t="s">
        <v>399</v>
      </c>
      <c r="Z211" s="24">
        <f>IF(AQ211="5",BJ211,0)</f>
        <v>0</v>
      </c>
      <c r="AB211" s="24">
        <f>IF(AQ211="1",BH211,0)</f>
        <v>0</v>
      </c>
      <c r="AC211" s="24">
        <f>IF(AQ211="1",BI211,0)</f>
        <v>0</v>
      </c>
      <c r="AD211" s="24">
        <f>IF(AQ211="7",BH211,0)</f>
        <v>0</v>
      </c>
      <c r="AE211" s="24">
        <f>IF(AQ211="7",BI211,0)</f>
        <v>0</v>
      </c>
      <c r="AF211" s="24">
        <f>IF(AQ211="2",BH211,0)</f>
        <v>0</v>
      </c>
      <c r="AG211" s="24">
        <f>IF(AQ211="2",BI211,0)</f>
        <v>0</v>
      </c>
      <c r="AH211" s="24">
        <f>IF(AQ211="0",BJ211,0)</f>
        <v>0</v>
      </c>
      <c r="AI211" s="9" t="s">
        <v>405</v>
      </c>
      <c r="AJ211" s="24">
        <f>IF(AN211=0,L211,0)</f>
        <v>0</v>
      </c>
      <c r="AK211" s="24">
        <f>IF(AN211=15,L211,0)</f>
        <v>0</v>
      </c>
      <c r="AL211" s="24">
        <f>IF(AN211=21,L211,0)</f>
        <v>0</v>
      </c>
      <c r="AN211" s="24">
        <v>21</v>
      </c>
      <c r="AO211" s="24">
        <f>I211*0.0000182233176460941</f>
        <v>0</v>
      </c>
      <c r="AP211" s="24">
        <f>I211*(1-0.0000182233176460941)</f>
        <v>0</v>
      </c>
      <c r="AQ211" s="30" t="s">
        <v>563</v>
      </c>
      <c r="AV211" s="24">
        <f>AW211+AX211</f>
        <v>0</v>
      </c>
      <c r="AW211" s="24">
        <f>H211*AO211</f>
        <v>0</v>
      </c>
      <c r="AX211" s="24">
        <f>H211*AP211</f>
        <v>0</v>
      </c>
      <c r="AY211" s="30" t="s">
        <v>497</v>
      </c>
      <c r="AZ211" s="30" t="s">
        <v>487</v>
      </c>
      <c r="BA211" s="9" t="s">
        <v>441</v>
      </c>
      <c r="BC211" s="24">
        <f>AW211+AX211</f>
        <v>0</v>
      </c>
      <c r="BD211" s="24">
        <f>I211/(100-BE211)*100</f>
        <v>0</v>
      </c>
      <c r="BE211" s="24">
        <v>0</v>
      </c>
      <c r="BF211" s="24">
        <f>211</f>
        <v>211</v>
      </c>
      <c r="BH211" s="24">
        <f>H211*AO211</f>
        <v>0</v>
      </c>
      <c r="BI211" s="24">
        <f>H211*AP211</f>
        <v>0</v>
      </c>
      <c r="BJ211" s="24">
        <f>H211*I211</f>
        <v>0</v>
      </c>
      <c r="BK211" s="24"/>
      <c r="BL211" s="24">
        <v>85</v>
      </c>
    </row>
    <row r="212" spans="1:64" ht="15" customHeight="1">
      <c r="A212" s="10"/>
      <c r="C212" s="34" t="s">
        <v>518</v>
      </c>
      <c r="F212" s="34" t="s">
        <v>405</v>
      </c>
      <c r="H212" s="3">
        <v>2</v>
      </c>
      <c r="M212" s="12"/>
    </row>
    <row r="213" spans="1:64" ht="15" customHeight="1">
      <c r="A213" s="10"/>
      <c r="C213" s="34" t="s">
        <v>16</v>
      </c>
      <c r="F213" s="34" t="s">
        <v>405</v>
      </c>
      <c r="H213" s="3">
        <v>2</v>
      </c>
      <c r="M213" s="12"/>
    </row>
    <row r="214" spans="1:64" ht="15" customHeight="1">
      <c r="A214" s="39" t="s">
        <v>555</v>
      </c>
      <c r="B214" s="8" t="s">
        <v>326</v>
      </c>
      <c r="C214" s="55" t="s">
        <v>476</v>
      </c>
      <c r="D214" s="55"/>
      <c r="E214" s="55"/>
      <c r="F214" s="55"/>
      <c r="G214" s="8" t="s">
        <v>143</v>
      </c>
      <c r="H214" s="24">
        <v>2</v>
      </c>
      <c r="I214" s="24">
        <v>0</v>
      </c>
      <c r="J214" s="24">
        <f>H214*AO214</f>
        <v>0</v>
      </c>
      <c r="K214" s="24">
        <f>H214*AP214</f>
        <v>0</v>
      </c>
      <c r="L214" s="24">
        <f>H214*I214</f>
        <v>0</v>
      </c>
      <c r="M214" s="47" t="s">
        <v>405</v>
      </c>
      <c r="Z214" s="24">
        <f>IF(AQ214="5",BJ214,0)</f>
        <v>0</v>
      </c>
      <c r="AB214" s="24">
        <f>IF(AQ214="1",BH214,0)</f>
        <v>0</v>
      </c>
      <c r="AC214" s="24">
        <f>IF(AQ214="1",BI214,0)</f>
        <v>0</v>
      </c>
      <c r="AD214" s="24">
        <f>IF(AQ214="7",BH214,0)</f>
        <v>0</v>
      </c>
      <c r="AE214" s="24">
        <f>IF(AQ214="7",BI214,0)</f>
        <v>0</v>
      </c>
      <c r="AF214" s="24">
        <f>IF(AQ214="2",BH214,0)</f>
        <v>0</v>
      </c>
      <c r="AG214" s="24">
        <f>IF(AQ214="2",BI214,0)</f>
        <v>0</v>
      </c>
      <c r="AH214" s="24">
        <f>IF(AQ214="0",BJ214,0)</f>
        <v>0</v>
      </c>
      <c r="AI214" s="9" t="s">
        <v>405</v>
      </c>
      <c r="AJ214" s="24">
        <f>IF(AN214=0,L214,0)</f>
        <v>0</v>
      </c>
      <c r="AK214" s="24">
        <f>IF(AN214=15,L214,0)</f>
        <v>0</v>
      </c>
      <c r="AL214" s="24">
        <f>IF(AN214=21,L214,0)</f>
        <v>0</v>
      </c>
      <c r="AN214" s="24">
        <v>21</v>
      </c>
      <c r="AO214" s="24">
        <f>I214*1</f>
        <v>0</v>
      </c>
      <c r="AP214" s="24">
        <f>I214*(1-1)</f>
        <v>0</v>
      </c>
      <c r="AQ214" s="30" t="s">
        <v>563</v>
      </c>
      <c r="AV214" s="24">
        <f>AW214+AX214</f>
        <v>0</v>
      </c>
      <c r="AW214" s="24">
        <f>H214*AO214</f>
        <v>0</v>
      </c>
      <c r="AX214" s="24">
        <f>H214*AP214</f>
        <v>0</v>
      </c>
      <c r="AY214" s="30" t="s">
        <v>497</v>
      </c>
      <c r="AZ214" s="30" t="s">
        <v>487</v>
      </c>
      <c r="BA214" s="9" t="s">
        <v>441</v>
      </c>
      <c r="BC214" s="24">
        <f>AW214+AX214</f>
        <v>0</v>
      </c>
      <c r="BD214" s="24">
        <f>I214/(100-BE214)*100</f>
        <v>0</v>
      </c>
      <c r="BE214" s="24">
        <v>0</v>
      </c>
      <c r="BF214" s="24">
        <f>214</f>
        <v>214</v>
      </c>
      <c r="BH214" s="24">
        <f>H214*AO214</f>
        <v>0</v>
      </c>
      <c r="BI214" s="24">
        <f>H214*AP214</f>
        <v>0</v>
      </c>
      <c r="BJ214" s="24">
        <f>H214*I214</f>
        <v>0</v>
      </c>
      <c r="BK214" s="24"/>
      <c r="BL214" s="24">
        <v>85</v>
      </c>
    </row>
    <row r="215" spans="1:64" ht="15" customHeight="1">
      <c r="A215" s="39" t="s">
        <v>100</v>
      </c>
      <c r="B215" s="8" t="s">
        <v>84</v>
      </c>
      <c r="C215" s="55" t="s">
        <v>182</v>
      </c>
      <c r="D215" s="55"/>
      <c r="E215" s="55"/>
      <c r="F215" s="55"/>
      <c r="G215" s="8" t="s">
        <v>143</v>
      </c>
      <c r="H215" s="24">
        <v>2</v>
      </c>
      <c r="I215" s="24">
        <v>0</v>
      </c>
      <c r="J215" s="24">
        <f>H215*AO215</f>
        <v>0</v>
      </c>
      <c r="K215" s="24">
        <f>H215*AP215</f>
        <v>0</v>
      </c>
      <c r="L215" s="24">
        <f>H215*I215</f>
        <v>0</v>
      </c>
      <c r="M215" s="47" t="s">
        <v>405</v>
      </c>
      <c r="Z215" s="24">
        <f>IF(AQ215="5",BJ215,0)</f>
        <v>0</v>
      </c>
      <c r="AB215" s="24">
        <f>IF(AQ215="1",BH215,0)</f>
        <v>0</v>
      </c>
      <c r="AC215" s="24">
        <f>IF(AQ215="1",BI215,0)</f>
        <v>0</v>
      </c>
      <c r="AD215" s="24">
        <f>IF(AQ215="7",BH215,0)</f>
        <v>0</v>
      </c>
      <c r="AE215" s="24">
        <f>IF(AQ215="7",BI215,0)</f>
        <v>0</v>
      </c>
      <c r="AF215" s="24">
        <f>IF(AQ215="2",BH215,0)</f>
        <v>0</v>
      </c>
      <c r="AG215" s="24">
        <f>IF(AQ215="2",BI215,0)</f>
        <v>0</v>
      </c>
      <c r="AH215" s="24">
        <f>IF(AQ215="0",BJ215,0)</f>
        <v>0</v>
      </c>
      <c r="AI215" s="9" t="s">
        <v>405</v>
      </c>
      <c r="AJ215" s="24">
        <f>IF(AN215=0,L215,0)</f>
        <v>0</v>
      </c>
      <c r="AK215" s="24">
        <f>IF(AN215=15,L215,0)</f>
        <v>0</v>
      </c>
      <c r="AL215" s="24">
        <f>IF(AN215=21,L215,0)</f>
        <v>0</v>
      </c>
      <c r="AN215" s="24">
        <v>21</v>
      </c>
      <c r="AO215" s="24">
        <f>I215*1</f>
        <v>0</v>
      </c>
      <c r="AP215" s="24">
        <f>I215*(1-1)</f>
        <v>0</v>
      </c>
      <c r="AQ215" s="30" t="s">
        <v>563</v>
      </c>
      <c r="AV215" s="24">
        <f>AW215+AX215</f>
        <v>0</v>
      </c>
      <c r="AW215" s="24">
        <f>H215*AO215</f>
        <v>0</v>
      </c>
      <c r="AX215" s="24">
        <f>H215*AP215</f>
        <v>0</v>
      </c>
      <c r="AY215" s="30" t="s">
        <v>497</v>
      </c>
      <c r="AZ215" s="30" t="s">
        <v>487</v>
      </c>
      <c r="BA215" s="9" t="s">
        <v>441</v>
      </c>
      <c r="BC215" s="24">
        <f>AW215+AX215</f>
        <v>0</v>
      </c>
      <c r="BD215" s="24">
        <f>I215/(100-BE215)*100</f>
        <v>0</v>
      </c>
      <c r="BE215" s="24">
        <v>0</v>
      </c>
      <c r="BF215" s="24">
        <f>215</f>
        <v>215</v>
      </c>
      <c r="BH215" s="24">
        <f>H215*AO215</f>
        <v>0</v>
      </c>
      <c r="BI215" s="24">
        <f>H215*AP215</f>
        <v>0</v>
      </c>
      <c r="BJ215" s="24">
        <f>H215*I215</f>
        <v>0</v>
      </c>
      <c r="BK215" s="24"/>
      <c r="BL215" s="24">
        <v>85</v>
      </c>
    </row>
    <row r="216" spans="1:64" ht="15" customHeight="1">
      <c r="A216" s="19" t="s">
        <v>405</v>
      </c>
      <c r="B216" s="26" t="s">
        <v>25</v>
      </c>
      <c r="C216" s="70" t="s">
        <v>44</v>
      </c>
      <c r="D216" s="70"/>
      <c r="E216" s="70"/>
      <c r="F216" s="70"/>
      <c r="G216" s="11" t="s">
        <v>529</v>
      </c>
      <c r="H216" s="11" t="s">
        <v>529</v>
      </c>
      <c r="I216" s="11" t="s">
        <v>529</v>
      </c>
      <c r="J216" s="31">
        <f>SUM(J217:J232)</f>
        <v>0</v>
      </c>
      <c r="K216" s="31">
        <f>SUM(K217:K232)</f>
        <v>0</v>
      </c>
      <c r="L216" s="31">
        <f>SUM(L217:L232)</f>
        <v>0</v>
      </c>
      <c r="M216" s="35" t="s">
        <v>405</v>
      </c>
      <c r="AI216" s="9" t="s">
        <v>405</v>
      </c>
      <c r="AS216" s="31">
        <f>SUM(AJ217:AJ232)</f>
        <v>0</v>
      </c>
      <c r="AT216" s="31">
        <f>SUM(AK217:AK232)</f>
        <v>0</v>
      </c>
      <c r="AU216" s="31">
        <f>SUM(AL217:AL232)</f>
        <v>0</v>
      </c>
    </row>
    <row r="217" spans="1:64" ht="15" customHeight="1">
      <c r="A217" s="39" t="s">
        <v>113</v>
      </c>
      <c r="B217" s="8" t="s">
        <v>386</v>
      </c>
      <c r="C217" s="55" t="s">
        <v>364</v>
      </c>
      <c r="D217" s="55"/>
      <c r="E217" s="55"/>
      <c r="F217" s="55"/>
      <c r="G217" s="8" t="s">
        <v>477</v>
      </c>
      <c r="H217" s="24">
        <v>137.9</v>
      </c>
      <c r="I217" s="24">
        <v>0</v>
      </c>
      <c r="J217" s="24">
        <f>H217*AO217</f>
        <v>0</v>
      </c>
      <c r="K217" s="24">
        <f>H217*AP217</f>
        <v>0</v>
      </c>
      <c r="L217" s="24">
        <f>H217*I217</f>
        <v>0</v>
      </c>
      <c r="M217" s="47" t="s">
        <v>399</v>
      </c>
      <c r="Z217" s="24">
        <f>IF(AQ217="5",BJ217,0)</f>
        <v>0</v>
      </c>
      <c r="AB217" s="24">
        <f>IF(AQ217="1",BH217,0)</f>
        <v>0</v>
      </c>
      <c r="AC217" s="24">
        <f>IF(AQ217="1",BI217,0)</f>
        <v>0</v>
      </c>
      <c r="AD217" s="24">
        <f>IF(AQ217="7",BH217,0)</f>
        <v>0</v>
      </c>
      <c r="AE217" s="24">
        <f>IF(AQ217="7",BI217,0)</f>
        <v>0</v>
      </c>
      <c r="AF217" s="24">
        <f>IF(AQ217="2",BH217,0)</f>
        <v>0</v>
      </c>
      <c r="AG217" s="24">
        <f>IF(AQ217="2",BI217,0)</f>
        <v>0</v>
      </c>
      <c r="AH217" s="24">
        <f>IF(AQ217="0",BJ217,0)</f>
        <v>0</v>
      </c>
      <c r="AI217" s="9" t="s">
        <v>405</v>
      </c>
      <c r="AJ217" s="24">
        <f>IF(AN217=0,L217,0)</f>
        <v>0</v>
      </c>
      <c r="AK217" s="24">
        <f>IF(AN217=15,L217,0)</f>
        <v>0</v>
      </c>
      <c r="AL217" s="24">
        <f>IF(AN217=21,L217,0)</f>
        <v>0</v>
      </c>
      <c r="AN217" s="24">
        <v>21</v>
      </c>
      <c r="AO217" s="24">
        <f>I217*0</f>
        <v>0</v>
      </c>
      <c r="AP217" s="24">
        <f>I217*(1-0)</f>
        <v>0</v>
      </c>
      <c r="AQ217" s="30" t="s">
        <v>563</v>
      </c>
      <c r="AV217" s="24">
        <f>AW217+AX217</f>
        <v>0</v>
      </c>
      <c r="AW217" s="24">
        <f>H217*AO217</f>
        <v>0</v>
      </c>
      <c r="AX217" s="24">
        <f>H217*AP217</f>
        <v>0</v>
      </c>
      <c r="AY217" s="30" t="s">
        <v>38</v>
      </c>
      <c r="AZ217" s="30" t="s">
        <v>487</v>
      </c>
      <c r="BA217" s="9" t="s">
        <v>441</v>
      </c>
      <c r="BC217" s="24">
        <f>AW217+AX217</f>
        <v>0</v>
      </c>
      <c r="BD217" s="24">
        <f>I217/(100-BE217)*100</f>
        <v>0</v>
      </c>
      <c r="BE217" s="24">
        <v>0</v>
      </c>
      <c r="BF217" s="24">
        <f>217</f>
        <v>217</v>
      </c>
      <c r="BH217" s="24">
        <f>H217*AO217</f>
        <v>0</v>
      </c>
      <c r="BI217" s="24">
        <f>H217*AP217</f>
        <v>0</v>
      </c>
      <c r="BJ217" s="24">
        <f>H217*I217</f>
        <v>0</v>
      </c>
      <c r="BK217" s="24"/>
      <c r="BL217" s="24">
        <v>87</v>
      </c>
    </row>
    <row r="218" spans="1:64" ht="15" customHeight="1">
      <c r="A218" s="10"/>
      <c r="C218" s="34" t="s">
        <v>333</v>
      </c>
      <c r="F218" s="34" t="s">
        <v>405</v>
      </c>
      <c r="H218" s="3">
        <v>137.9</v>
      </c>
      <c r="M218" s="12"/>
    </row>
    <row r="219" spans="1:64" ht="15" customHeight="1">
      <c r="A219" s="39" t="s">
        <v>578</v>
      </c>
      <c r="B219" s="8" t="s">
        <v>592</v>
      </c>
      <c r="C219" s="55" t="s">
        <v>618</v>
      </c>
      <c r="D219" s="55"/>
      <c r="E219" s="55"/>
      <c r="F219" s="55"/>
      <c r="G219" s="8" t="s">
        <v>477</v>
      </c>
      <c r="H219" s="24">
        <v>144.79499999999999</v>
      </c>
      <c r="I219" s="24">
        <v>0</v>
      </c>
      <c r="J219" s="24">
        <f>H219*AO219</f>
        <v>0</v>
      </c>
      <c r="K219" s="24">
        <f>H219*AP219</f>
        <v>0</v>
      </c>
      <c r="L219" s="24">
        <f>H219*I219</f>
        <v>0</v>
      </c>
      <c r="M219" s="47" t="s">
        <v>399</v>
      </c>
      <c r="Z219" s="24">
        <f>IF(AQ219="5",BJ219,0)</f>
        <v>0</v>
      </c>
      <c r="AB219" s="24">
        <f>IF(AQ219="1",BH219,0)</f>
        <v>0</v>
      </c>
      <c r="AC219" s="24">
        <f>IF(AQ219="1",BI219,0)</f>
        <v>0</v>
      </c>
      <c r="AD219" s="24">
        <f>IF(AQ219="7",BH219,0)</f>
        <v>0</v>
      </c>
      <c r="AE219" s="24">
        <f>IF(AQ219="7",BI219,0)</f>
        <v>0</v>
      </c>
      <c r="AF219" s="24">
        <f>IF(AQ219="2",BH219,0)</f>
        <v>0</v>
      </c>
      <c r="AG219" s="24">
        <f>IF(AQ219="2",BI219,0)</f>
        <v>0</v>
      </c>
      <c r="AH219" s="24">
        <f>IF(AQ219="0",BJ219,0)</f>
        <v>0</v>
      </c>
      <c r="AI219" s="9" t="s">
        <v>405</v>
      </c>
      <c r="AJ219" s="24">
        <f>IF(AN219=0,L219,0)</f>
        <v>0</v>
      </c>
      <c r="AK219" s="24">
        <f>IF(AN219=15,L219,0)</f>
        <v>0</v>
      </c>
      <c r="AL219" s="24">
        <f>IF(AN219=21,L219,0)</f>
        <v>0</v>
      </c>
      <c r="AN219" s="24">
        <v>21</v>
      </c>
      <c r="AO219" s="24">
        <f>I219*1</f>
        <v>0</v>
      </c>
      <c r="AP219" s="24">
        <f>I219*(1-1)</f>
        <v>0</v>
      </c>
      <c r="AQ219" s="30" t="s">
        <v>563</v>
      </c>
      <c r="AV219" s="24">
        <f>AW219+AX219</f>
        <v>0</v>
      </c>
      <c r="AW219" s="24">
        <f>H219*AO219</f>
        <v>0</v>
      </c>
      <c r="AX219" s="24">
        <f>H219*AP219</f>
        <v>0</v>
      </c>
      <c r="AY219" s="30" t="s">
        <v>38</v>
      </c>
      <c r="AZ219" s="30" t="s">
        <v>487</v>
      </c>
      <c r="BA219" s="9" t="s">
        <v>441</v>
      </c>
      <c r="BC219" s="24">
        <f>AW219+AX219</f>
        <v>0</v>
      </c>
      <c r="BD219" s="24">
        <f>I219/(100-BE219)*100</f>
        <v>0</v>
      </c>
      <c r="BE219" s="24">
        <v>0</v>
      </c>
      <c r="BF219" s="24">
        <f>219</f>
        <v>219</v>
      </c>
      <c r="BH219" s="24">
        <f>H219*AO219</f>
        <v>0</v>
      </c>
      <c r="BI219" s="24">
        <f>H219*AP219</f>
        <v>0</v>
      </c>
      <c r="BJ219" s="24">
        <f>H219*I219</f>
        <v>0</v>
      </c>
      <c r="BK219" s="24"/>
      <c r="BL219" s="24">
        <v>87</v>
      </c>
    </row>
    <row r="220" spans="1:64" ht="15" customHeight="1">
      <c r="A220" s="10"/>
      <c r="C220" s="34" t="s">
        <v>604</v>
      </c>
      <c r="F220" s="34" t="s">
        <v>405</v>
      </c>
      <c r="H220" s="3">
        <v>144.79500000000002</v>
      </c>
      <c r="M220" s="12"/>
    </row>
    <row r="221" spans="1:64" ht="15" customHeight="1">
      <c r="A221" s="39" t="s">
        <v>341</v>
      </c>
      <c r="B221" s="8" t="s">
        <v>6</v>
      </c>
      <c r="C221" s="55" t="s">
        <v>296</v>
      </c>
      <c r="D221" s="55"/>
      <c r="E221" s="55"/>
      <c r="F221" s="55"/>
      <c r="G221" s="8" t="s">
        <v>477</v>
      </c>
      <c r="H221" s="24">
        <v>137.9</v>
      </c>
      <c r="I221" s="24">
        <v>0</v>
      </c>
      <c r="J221" s="24">
        <f>H221*AO221</f>
        <v>0</v>
      </c>
      <c r="K221" s="24">
        <f>H221*AP221</f>
        <v>0</v>
      </c>
      <c r="L221" s="24">
        <f>H221*I221</f>
        <v>0</v>
      </c>
      <c r="M221" s="47" t="s">
        <v>399</v>
      </c>
      <c r="Z221" s="24">
        <f>IF(AQ221="5",BJ221,0)</f>
        <v>0</v>
      </c>
      <c r="AB221" s="24">
        <f>IF(AQ221="1",BH221,0)</f>
        <v>0</v>
      </c>
      <c r="AC221" s="24">
        <f>IF(AQ221="1",BI221,0)</f>
        <v>0</v>
      </c>
      <c r="AD221" s="24">
        <f>IF(AQ221="7",BH221,0)</f>
        <v>0</v>
      </c>
      <c r="AE221" s="24">
        <f>IF(AQ221="7",BI221,0)</f>
        <v>0</v>
      </c>
      <c r="AF221" s="24">
        <f>IF(AQ221="2",BH221,0)</f>
        <v>0</v>
      </c>
      <c r="AG221" s="24">
        <f>IF(AQ221="2",BI221,0)</f>
        <v>0</v>
      </c>
      <c r="AH221" s="24">
        <f>IF(AQ221="0",BJ221,0)</f>
        <v>0</v>
      </c>
      <c r="AI221" s="9" t="s">
        <v>405</v>
      </c>
      <c r="AJ221" s="24">
        <f>IF(AN221=0,L221,0)</f>
        <v>0</v>
      </c>
      <c r="AK221" s="24">
        <f>IF(AN221=15,L221,0)</f>
        <v>0</v>
      </c>
      <c r="AL221" s="24">
        <f>IF(AN221=21,L221,0)</f>
        <v>0</v>
      </c>
      <c r="AN221" s="24">
        <v>21</v>
      </c>
      <c r="AO221" s="24">
        <f>I221*0</f>
        <v>0</v>
      </c>
      <c r="AP221" s="24">
        <f>I221*(1-0)</f>
        <v>0</v>
      </c>
      <c r="AQ221" s="30" t="s">
        <v>563</v>
      </c>
      <c r="AV221" s="24">
        <f>AW221+AX221</f>
        <v>0</v>
      </c>
      <c r="AW221" s="24">
        <f>H221*AO221</f>
        <v>0</v>
      </c>
      <c r="AX221" s="24">
        <f>H221*AP221</f>
        <v>0</v>
      </c>
      <c r="AY221" s="30" t="s">
        <v>38</v>
      </c>
      <c r="AZ221" s="30" t="s">
        <v>487</v>
      </c>
      <c r="BA221" s="9" t="s">
        <v>441</v>
      </c>
      <c r="BC221" s="24">
        <f>AW221+AX221</f>
        <v>0</v>
      </c>
      <c r="BD221" s="24">
        <f>I221/(100-BE221)*100</f>
        <v>0</v>
      </c>
      <c r="BE221" s="24">
        <v>0</v>
      </c>
      <c r="BF221" s="24">
        <f>221</f>
        <v>221</v>
      </c>
      <c r="BH221" s="24">
        <f>H221*AO221</f>
        <v>0</v>
      </c>
      <c r="BI221" s="24">
        <f>H221*AP221</f>
        <v>0</v>
      </c>
      <c r="BJ221" s="24">
        <f>H221*I221</f>
        <v>0</v>
      </c>
      <c r="BK221" s="24"/>
      <c r="BL221" s="24">
        <v>87</v>
      </c>
    </row>
    <row r="222" spans="1:64" ht="15" customHeight="1">
      <c r="A222" s="10"/>
      <c r="C222" s="34" t="s">
        <v>293</v>
      </c>
      <c r="F222" s="34" t="s">
        <v>405</v>
      </c>
      <c r="H222" s="3">
        <v>137.9</v>
      </c>
      <c r="M222" s="12"/>
    </row>
    <row r="223" spans="1:64" ht="15" customHeight="1">
      <c r="A223" s="39" t="s">
        <v>283</v>
      </c>
      <c r="B223" s="8" t="s">
        <v>163</v>
      </c>
      <c r="C223" s="55" t="s">
        <v>129</v>
      </c>
      <c r="D223" s="55"/>
      <c r="E223" s="55"/>
      <c r="F223" s="55"/>
      <c r="G223" s="8" t="s">
        <v>477</v>
      </c>
      <c r="H223" s="24">
        <v>144.79499999999999</v>
      </c>
      <c r="I223" s="24">
        <v>0</v>
      </c>
      <c r="J223" s="24">
        <f>H223*AO223</f>
        <v>0</v>
      </c>
      <c r="K223" s="24">
        <f>H223*AP223</f>
        <v>0</v>
      </c>
      <c r="L223" s="24">
        <f>H223*I223</f>
        <v>0</v>
      </c>
      <c r="M223" s="47" t="s">
        <v>399</v>
      </c>
      <c r="Z223" s="24">
        <f>IF(AQ223="5",BJ223,0)</f>
        <v>0</v>
      </c>
      <c r="AB223" s="24">
        <f>IF(AQ223="1",BH223,0)</f>
        <v>0</v>
      </c>
      <c r="AC223" s="24">
        <f>IF(AQ223="1",BI223,0)</f>
        <v>0</v>
      </c>
      <c r="AD223" s="24">
        <f>IF(AQ223="7",BH223,0)</f>
        <v>0</v>
      </c>
      <c r="AE223" s="24">
        <f>IF(AQ223="7",BI223,0)</f>
        <v>0</v>
      </c>
      <c r="AF223" s="24">
        <f>IF(AQ223="2",BH223,0)</f>
        <v>0</v>
      </c>
      <c r="AG223" s="24">
        <f>IF(AQ223="2",BI223,0)</f>
        <v>0</v>
      </c>
      <c r="AH223" s="24">
        <f>IF(AQ223="0",BJ223,0)</f>
        <v>0</v>
      </c>
      <c r="AI223" s="9" t="s">
        <v>405</v>
      </c>
      <c r="AJ223" s="24">
        <f>IF(AN223=0,L223,0)</f>
        <v>0</v>
      </c>
      <c r="AK223" s="24">
        <f>IF(AN223=15,L223,0)</f>
        <v>0</v>
      </c>
      <c r="AL223" s="24">
        <f>IF(AN223=21,L223,0)</f>
        <v>0</v>
      </c>
      <c r="AN223" s="24">
        <v>21</v>
      </c>
      <c r="AO223" s="24">
        <f>I223*1</f>
        <v>0</v>
      </c>
      <c r="AP223" s="24">
        <f>I223*(1-1)</f>
        <v>0</v>
      </c>
      <c r="AQ223" s="30" t="s">
        <v>563</v>
      </c>
      <c r="AV223" s="24">
        <f>AW223+AX223</f>
        <v>0</v>
      </c>
      <c r="AW223" s="24">
        <f>H223*AO223</f>
        <v>0</v>
      </c>
      <c r="AX223" s="24">
        <f>H223*AP223</f>
        <v>0</v>
      </c>
      <c r="AY223" s="30" t="s">
        <v>38</v>
      </c>
      <c r="AZ223" s="30" t="s">
        <v>487</v>
      </c>
      <c r="BA223" s="9" t="s">
        <v>441</v>
      </c>
      <c r="BC223" s="24">
        <f>AW223+AX223</f>
        <v>0</v>
      </c>
      <c r="BD223" s="24">
        <f>I223/(100-BE223)*100</f>
        <v>0</v>
      </c>
      <c r="BE223" s="24">
        <v>0</v>
      </c>
      <c r="BF223" s="24">
        <f>223</f>
        <v>223</v>
      </c>
      <c r="BH223" s="24">
        <f>H223*AO223</f>
        <v>0</v>
      </c>
      <c r="BI223" s="24">
        <f>H223*AP223</f>
        <v>0</v>
      </c>
      <c r="BJ223" s="24">
        <f>H223*I223</f>
        <v>0</v>
      </c>
      <c r="BK223" s="24"/>
      <c r="BL223" s="24">
        <v>87</v>
      </c>
    </row>
    <row r="224" spans="1:64" ht="15" customHeight="1">
      <c r="A224" s="10"/>
      <c r="C224" s="34" t="s">
        <v>604</v>
      </c>
      <c r="F224" s="34" t="s">
        <v>405</v>
      </c>
      <c r="H224" s="3">
        <v>144.79500000000002</v>
      </c>
      <c r="M224" s="12"/>
    </row>
    <row r="225" spans="1:64" ht="15" customHeight="1">
      <c r="A225" s="39" t="s">
        <v>379</v>
      </c>
      <c r="B225" s="8" t="s">
        <v>227</v>
      </c>
      <c r="C225" s="55" t="s">
        <v>144</v>
      </c>
      <c r="D225" s="55"/>
      <c r="E225" s="55"/>
      <c r="F225" s="55"/>
      <c r="G225" s="8" t="s">
        <v>477</v>
      </c>
      <c r="H225" s="24">
        <v>144.79499999999999</v>
      </c>
      <c r="I225" s="24">
        <v>0</v>
      </c>
      <c r="J225" s="24">
        <f>H225*AO225</f>
        <v>0</v>
      </c>
      <c r="K225" s="24">
        <f>H225*AP225</f>
        <v>0</v>
      </c>
      <c r="L225" s="24">
        <f>H225*I225</f>
        <v>0</v>
      </c>
      <c r="M225" s="47" t="s">
        <v>405</v>
      </c>
      <c r="Z225" s="24">
        <f>IF(AQ225="5",BJ225,0)</f>
        <v>0</v>
      </c>
      <c r="AB225" s="24">
        <f>IF(AQ225="1",BH225,0)</f>
        <v>0</v>
      </c>
      <c r="AC225" s="24">
        <f>IF(AQ225="1",BI225,0)</f>
        <v>0</v>
      </c>
      <c r="AD225" s="24">
        <f>IF(AQ225="7",BH225,0)</f>
        <v>0</v>
      </c>
      <c r="AE225" s="24">
        <f>IF(AQ225="7",BI225,0)</f>
        <v>0</v>
      </c>
      <c r="AF225" s="24">
        <f>IF(AQ225="2",BH225,0)</f>
        <v>0</v>
      </c>
      <c r="AG225" s="24">
        <f>IF(AQ225="2",BI225,0)</f>
        <v>0</v>
      </c>
      <c r="AH225" s="24">
        <f>IF(AQ225="0",BJ225,0)</f>
        <v>0</v>
      </c>
      <c r="AI225" s="9" t="s">
        <v>405</v>
      </c>
      <c r="AJ225" s="24">
        <f>IF(AN225=0,L225,0)</f>
        <v>0</v>
      </c>
      <c r="AK225" s="24">
        <f>IF(AN225=15,L225,0)</f>
        <v>0</v>
      </c>
      <c r="AL225" s="24">
        <f>IF(AN225=21,L225,0)</f>
        <v>0</v>
      </c>
      <c r="AN225" s="24">
        <v>21</v>
      </c>
      <c r="AO225" s="24">
        <f>I225*1</f>
        <v>0</v>
      </c>
      <c r="AP225" s="24">
        <f>I225*(1-1)</f>
        <v>0</v>
      </c>
      <c r="AQ225" s="30" t="s">
        <v>563</v>
      </c>
      <c r="AV225" s="24">
        <f>AW225+AX225</f>
        <v>0</v>
      </c>
      <c r="AW225" s="24">
        <f>H225*AO225</f>
        <v>0</v>
      </c>
      <c r="AX225" s="24">
        <f>H225*AP225</f>
        <v>0</v>
      </c>
      <c r="AY225" s="30" t="s">
        <v>38</v>
      </c>
      <c r="AZ225" s="30" t="s">
        <v>487</v>
      </c>
      <c r="BA225" s="9" t="s">
        <v>441</v>
      </c>
      <c r="BC225" s="24">
        <f>AW225+AX225</f>
        <v>0</v>
      </c>
      <c r="BD225" s="24">
        <f>I225/(100-BE225)*100</f>
        <v>0</v>
      </c>
      <c r="BE225" s="24">
        <v>0</v>
      </c>
      <c r="BF225" s="24">
        <f>225</f>
        <v>225</v>
      </c>
      <c r="BH225" s="24">
        <f>H225*AO225</f>
        <v>0</v>
      </c>
      <c r="BI225" s="24">
        <f>H225*AP225</f>
        <v>0</v>
      </c>
      <c r="BJ225" s="24">
        <f>H225*I225</f>
        <v>0</v>
      </c>
      <c r="BK225" s="24"/>
      <c r="BL225" s="24">
        <v>87</v>
      </c>
    </row>
    <row r="226" spans="1:64" ht="15" customHeight="1">
      <c r="A226" s="10"/>
      <c r="C226" s="34" t="s">
        <v>126</v>
      </c>
      <c r="F226" s="34" t="s">
        <v>405</v>
      </c>
      <c r="H226" s="3">
        <v>144.79500000000002</v>
      </c>
      <c r="M226" s="12"/>
    </row>
    <row r="227" spans="1:64" ht="15" customHeight="1">
      <c r="A227" s="39" t="s">
        <v>25</v>
      </c>
      <c r="B227" s="8" t="s">
        <v>85</v>
      </c>
      <c r="C227" s="55" t="s">
        <v>329</v>
      </c>
      <c r="D227" s="55"/>
      <c r="E227" s="55"/>
      <c r="F227" s="55"/>
      <c r="G227" s="8" t="s">
        <v>477</v>
      </c>
      <c r="H227" s="24">
        <v>289.58999999999997</v>
      </c>
      <c r="I227" s="24">
        <v>0</v>
      </c>
      <c r="J227" s="24">
        <f>H227*AO227</f>
        <v>0</v>
      </c>
      <c r="K227" s="24">
        <f>H227*AP227</f>
        <v>0</v>
      </c>
      <c r="L227" s="24">
        <f>H227*I227</f>
        <v>0</v>
      </c>
      <c r="M227" s="47" t="s">
        <v>399</v>
      </c>
      <c r="Z227" s="24">
        <f>IF(AQ227="5",BJ227,0)</f>
        <v>0</v>
      </c>
      <c r="AB227" s="24">
        <f>IF(AQ227="1",BH227,0)</f>
        <v>0</v>
      </c>
      <c r="AC227" s="24">
        <f>IF(AQ227="1",BI227,0)</f>
        <v>0</v>
      </c>
      <c r="AD227" s="24">
        <f>IF(AQ227="7",BH227,0)</f>
        <v>0</v>
      </c>
      <c r="AE227" s="24">
        <f>IF(AQ227="7",BI227,0)</f>
        <v>0</v>
      </c>
      <c r="AF227" s="24">
        <f>IF(AQ227="2",BH227,0)</f>
        <v>0</v>
      </c>
      <c r="AG227" s="24">
        <f>IF(AQ227="2",BI227,0)</f>
        <v>0</v>
      </c>
      <c r="AH227" s="24">
        <f>IF(AQ227="0",BJ227,0)</f>
        <v>0</v>
      </c>
      <c r="AI227" s="9" t="s">
        <v>405</v>
      </c>
      <c r="AJ227" s="24">
        <f>IF(AN227=0,L227,0)</f>
        <v>0</v>
      </c>
      <c r="AK227" s="24">
        <f>IF(AN227=15,L227,0)</f>
        <v>0</v>
      </c>
      <c r="AL227" s="24">
        <f>IF(AN227=21,L227,0)</f>
        <v>0</v>
      </c>
      <c r="AN227" s="24">
        <v>21</v>
      </c>
      <c r="AO227" s="24">
        <f>I227*0.322423905036164</f>
        <v>0</v>
      </c>
      <c r="AP227" s="24">
        <f>I227*(1-0.322423905036164)</f>
        <v>0</v>
      </c>
      <c r="AQ227" s="30" t="s">
        <v>563</v>
      </c>
      <c r="AV227" s="24">
        <f>AW227+AX227</f>
        <v>0</v>
      </c>
      <c r="AW227" s="24">
        <f>H227*AO227</f>
        <v>0</v>
      </c>
      <c r="AX227" s="24">
        <f>H227*AP227</f>
        <v>0</v>
      </c>
      <c r="AY227" s="30" t="s">
        <v>38</v>
      </c>
      <c r="AZ227" s="30" t="s">
        <v>487</v>
      </c>
      <c r="BA227" s="9" t="s">
        <v>441</v>
      </c>
      <c r="BC227" s="24">
        <f>AW227+AX227</f>
        <v>0</v>
      </c>
      <c r="BD227" s="24">
        <f>I227/(100-BE227)*100</f>
        <v>0</v>
      </c>
      <c r="BE227" s="24">
        <v>0</v>
      </c>
      <c r="BF227" s="24">
        <f>227</f>
        <v>227</v>
      </c>
      <c r="BH227" s="24">
        <f>H227*AO227</f>
        <v>0</v>
      </c>
      <c r="BI227" s="24">
        <f>H227*AP227</f>
        <v>0</v>
      </c>
      <c r="BJ227" s="24">
        <f>H227*I227</f>
        <v>0</v>
      </c>
      <c r="BK227" s="24"/>
      <c r="BL227" s="24">
        <v>87</v>
      </c>
    </row>
    <row r="228" spans="1:64" ht="15" customHeight="1">
      <c r="A228" s="10"/>
      <c r="C228" s="34" t="s">
        <v>380</v>
      </c>
      <c r="F228" s="34" t="s">
        <v>405</v>
      </c>
      <c r="H228" s="3">
        <v>275.8</v>
      </c>
      <c r="M228" s="12"/>
    </row>
    <row r="229" spans="1:64" ht="15" customHeight="1">
      <c r="A229" s="10"/>
      <c r="C229" s="34" t="s">
        <v>81</v>
      </c>
      <c r="F229" s="34" t="s">
        <v>405</v>
      </c>
      <c r="H229" s="3">
        <v>13.790000000000001</v>
      </c>
      <c r="M229" s="12"/>
    </row>
    <row r="230" spans="1:64" ht="15" customHeight="1">
      <c r="A230" s="39" t="s">
        <v>608</v>
      </c>
      <c r="B230" s="8" t="s">
        <v>425</v>
      </c>
      <c r="C230" s="55" t="s">
        <v>101</v>
      </c>
      <c r="D230" s="55"/>
      <c r="E230" s="55"/>
      <c r="F230" s="55"/>
      <c r="G230" s="8" t="s">
        <v>477</v>
      </c>
      <c r="H230" s="24">
        <v>139.69999999999999</v>
      </c>
      <c r="I230" s="24">
        <v>0</v>
      </c>
      <c r="J230" s="24">
        <f>H230*AO230</f>
        <v>0</v>
      </c>
      <c r="K230" s="24">
        <f>H230*AP230</f>
        <v>0</v>
      </c>
      <c r="L230" s="24">
        <f>H230*I230</f>
        <v>0</v>
      </c>
      <c r="M230" s="47" t="s">
        <v>399</v>
      </c>
      <c r="Z230" s="24">
        <f>IF(AQ230="5",BJ230,0)</f>
        <v>0</v>
      </c>
      <c r="AB230" s="24">
        <f>IF(AQ230="1",BH230,0)</f>
        <v>0</v>
      </c>
      <c r="AC230" s="24">
        <f>IF(AQ230="1",BI230,0)</f>
        <v>0</v>
      </c>
      <c r="AD230" s="24">
        <f>IF(AQ230="7",BH230,0)</f>
        <v>0</v>
      </c>
      <c r="AE230" s="24">
        <f>IF(AQ230="7",BI230,0)</f>
        <v>0</v>
      </c>
      <c r="AF230" s="24">
        <f>IF(AQ230="2",BH230,0)</f>
        <v>0</v>
      </c>
      <c r="AG230" s="24">
        <f>IF(AQ230="2",BI230,0)</f>
        <v>0</v>
      </c>
      <c r="AH230" s="24">
        <f>IF(AQ230="0",BJ230,0)</f>
        <v>0</v>
      </c>
      <c r="AI230" s="9" t="s">
        <v>405</v>
      </c>
      <c r="AJ230" s="24">
        <f>IF(AN230=0,L230,0)</f>
        <v>0</v>
      </c>
      <c r="AK230" s="24">
        <f>IF(AN230=15,L230,0)</f>
        <v>0</v>
      </c>
      <c r="AL230" s="24">
        <f>IF(AN230=21,L230,0)</f>
        <v>0</v>
      </c>
      <c r="AN230" s="24">
        <v>21</v>
      </c>
      <c r="AO230" s="24">
        <f>I230*0</f>
        <v>0</v>
      </c>
      <c r="AP230" s="24">
        <f>I230*(1-0)</f>
        <v>0</v>
      </c>
      <c r="AQ230" s="30" t="s">
        <v>563</v>
      </c>
      <c r="AV230" s="24">
        <f>AW230+AX230</f>
        <v>0</v>
      </c>
      <c r="AW230" s="24">
        <f>H230*AO230</f>
        <v>0</v>
      </c>
      <c r="AX230" s="24">
        <f>H230*AP230</f>
        <v>0</v>
      </c>
      <c r="AY230" s="30" t="s">
        <v>38</v>
      </c>
      <c r="AZ230" s="30" t="s">
        <v>487</v>
      </c>
      <c r="BA230" s="9" t="s">
        <v>441</v>
      </c>
      <c r="BC230" s="24">
        <f>AW230+AX230</f>
        <v>0</v>
      </c>
      <c r="BD230" s="24">
        <f>I230/(100-BE230)*100</f>
        <v>0</v>
      </c>
      <c r="BE230" s="24">
        <v>0</v>
      </c>
      <c r="BF230" s="24">
        <f>230</f>
        <v>230</v>
      </c>
      <c r="BH230" s="24">
        <f>H230*AO230</f>
        <v>0</v>
      </c>
      <c r="BI230" s="24">
        <f>H230*AP230</f>
        <v>0</v>
      </c>
      <c r="BJ230" s="24">
        <f>H230*I230</f>
        <v>0</v>
      </c>
      <c r="BK230" s="24"/>
      <c r="BL230" s="24">
        <v>87</v>
      </c>
    </row>
    <row r="231" spans="1:64" ht="15" customHeight="1">
      <c r="A231" s="10"/>
      <c r="C231" s="34" t="s">
        <v>590</v>
      </c>
      <c r="F231" s="34" t="s">
        <v>405</v>
      </c>
      <c r="H231" s="3">
        <v>139.70000000000002</v>
      </c>
      <c r="M231" s="12"/>
    </row>
    <row r="232" spans="1:64" ht="15" customHeight="1">
      <c r="A232" s="39" t="s">
        <v>600</v>
      </c>
      <c r="B232" s="8" t="s">
        <v>210</v>
      </c>
      <c r="C232" s="55" t="s">
        <v>203</v>
      </c>
      <c r="D232" s="55"/>
      <c r="E232" s="55"/>
      <c r="F232" s="55"/>
      <c r="G232" s="8" t="s">
        <v>433</v>
      </c>
      <c r="H232" s="24">
        <v>1</v>
      </c>
      <c r="I232" s="24">
        <v>0</v>
      </c>
      <c r="J232" s="24">
        <f>H232*AO232</f>
        <v>0</v>
      </c>
      <c r="K232" s="24">
        <f>H232*AP232</f>
        <v>0</v>
      </c>
      <c r="L232" s="24">
        <f>H232*I232</f>
        <v>0</v>
      </c>
      <c r="M232" s="47" t="s">
        <v>405</v>
      </c>
      <c r="Z232" s="24">
        <f>IF(AQ232="5",BJ232,0)</f>
        <v>0</v>
      </c>
      <c r="AB232" s="24">
        <f>IF(AQ232="1",BH232,0)</f>
        <v>0</v>
      </c>
      <c r="AC232" s="24">
        <f>IF(AQ232="1",BI232,0)</f>
        <v>0</v>
      </c>
      <c r="AD232" s="24">
        <f>IF(AQ232="7",BH232,0)</f>
        <v>0</v>
      </c>
      <c r="AE232" s="24">
        <f>IF(AQ232="7",BI232,0)</f>
        <v>0</v>
      </c>
      <c r="AF232" s="24">
        <f>IF(AQ232="2",BH232,0)</f>
        <v>0</v>
      </c>
      <c r="AG232" s="24">
        <f>IF(AQ232="2",BI232,0)</f>
        <v>0</v>
      </c>
      <c r="AH232" s="24">
        <f>IF(AQ232="0",BJ232,0)</f>
        <v>0</v>
      </c>
      <c r="AI232" s="9" t="s">
        <v>405</v>
      </c>
      <c r="AJ232" s="24">
        <f>IF(AN232=0,L232,0)</f>
        <v>0</v>
      </c>
      <c r="AK232" s="24">
        <f>IF(AN232=15,L232,0)</f>
        <v>0</v>
      </c>
      <c r="AL232" s="24">
        <f>IF(AN232=21,L232,0)</f>
        <v>0</v>
      </c>
      <c r="AN232" s="24">
        <v>21</v>
      </c>
      <c r="AO232" s="24">
        <f>I232*0.2</f>
        <v>0</v>
      </c>
      <c r="AP232" s="24">
        <f>I232*(1-0.2)</f>
        <v>0</v>
      </c>
      <c r="AQ232" s="30" t="s">
        <v>563</v>
      </c>
      <c r="AV232" s="24">
        <f>AW232+AX232</f>
        <v>0</v>
      </c>
      <c r="AW232" s="24">
        <f>H232*AO232</f>
        <v>0</v>
      </c>
      <c r="AX232" s="24">
        <f>H232*AP232</f>
        <v>0</v>
      </c>
      <c r="AY232" s="30" t="s">
        <v>38</v>
      </c>
      <c r="AZ232" s="30" t="s">
        <v>487</v>
      </c>
      <c r="BA232" s="9" t="s">
        <v>441</v>
      </c>
      <c r="BC232" s="24">
        <f>AW232+AX232</f>
        <v>0</v>
      </c>
      <c r="BD232" s="24">
        <f>I232/(100-BE232)*100</f>
        <v>0</v>
      </c>
      <c r="BE232" s="24">
        <v>0</v>
      </c>
      <c r="BF232" s="24">
        <f>232</f>
        <v>232</v>
      </c>
      <c r="BH232" s="24">
        <f>H232*AO232</f>
        <v>0</v>
      </c>
      <c r="BI232" s="24">
        <f>H232*AP232</f>
        <v>0</v>
      </c>
      <c r="BJ232" s="24">
        <f>H232*I232</f>
        <v>0</v>
      </c>
      <c r="BK232" s="24"/>
      <c r="BL232" s="24">
        <v>87</v>
      </c>
    </row>
    <row r="233" spans="1:64" ht="15" customHeight="1">
      <c r="A233" s="10"/>
      <c r="C233" s="34" t="s">
        <v>523</v>
      </c>
      <c r="F233" s="34" t="s">
        <v>405</v>
      </c>
      <c r="H233" s="3">
        <v>1</v>
      </c>
      <c r="M233" s="12"/>
    </row>
    <row r="234" spans="1:64" ht="15" customHeight="1">
      <c r="A234" s="19" t="s">
        <v>405</v>
      </c>
      <c r="B234" s="26" t="s">
        <v>608</v>
      </c>
      <c r="C234" s="70" t="s">
        <v>59</v>
      </c>
      <c r="D234" s="70"/>
      <c r="E234" s="70"/>
      <c r="F234" s="70"/>
      <c r="G234" s="11" t="s">
        <v>529</v>
      </c>
      <c r="H234" s="11" t="s">
        <v>529</v>
      </c>
      <c r="I234" s="11" t="s">
        <v>529</v>
      </c>
      <c r="J234" s="31">
        <f>SUM(J235:J237)</f>
        <v>0</v>
      </c>
      <c r="K234" s="31">
        <f>SUM(K235:K237)</f>
        <v>0</v>
      </c>
      <c r="L234" s="31">
        <f>SUM(L235:L237)</f>
        <v>0</v>
      </c>
      <c r="M234" s="35" t="s">
        <v>405</v>
      </c>
      <c r="AI234" s="9" t="s">
        <v>405</v>
      </c>
      <c r="AS234" s="31">
        <f>SUM(AJ235:AJ237)</f>
        <v>0</v>
      </c>
      <c r="AT234" s="31">
        <f>SUM(AK235:AK237)</f>
        <v>0</v>
      </c>
      <c r="AU234" s="31">
        <f>SUM(AL235:AL237)</f>
        <v>0</v>
      </c>
    </row>
    <row r="235" spans="1:64" ht="15" customHeight="1">
      <c r="A235" s="39" t="s">
        <v>599</v>
      </c>
      <c r="B235" s="8" t="s">
        <v>63</v>
      </c>
      <c r="C235" s="55" t="s">
        <v>94</v>
      </c>
      <c r="D235" s="55"/>
      <c r="E235" s="55"/>
      <c r="F235" s="55"/>
      <c r="G235" s="8" t="s">
        <v>477</v>
      </c>
      <c r="H235" s="24">
        <v>137.9</v>
      </c>
      <c r="I235" s="24">
        <v>0</v>
      </c>
      <c r="J235" s="24">
        <f>H235*AO235</f>
        <v>0</v>
      </c>
      <c r="K235" s="24">
        <f>H235*AP235</f>
        <v>0</v>
      </c>
      <c r="L235" s="24">
        <f>H235*I235</f>
        <v>0</v>
      </c>
      <c r="M235" s="47" t="s">
        <v>399</v>
      </c>
      <c r="Z235" s="24">
        <f>IF(AQ235="5",BJ235,0)</f>
        <v>0</v>
      </c>
      <c r="AB235" s="24">
        <f>IF(AQ235="1",BH235,0)</f>
        <v>0</v>
      </c>
      <c r="AC235" s="24">
        <f>IF(AQ235="1",BI235,0)</f>
        <v>0</v>
      </c>
      <c r="AD235" s="24">
        <f>IF(AQ235="7",BH235,0)</f>
        <v>0</v>
      </c>
      <c r="AE235" s="24">
        <f>IF(AQ235="7",BI235,0)</f>
        <v>0</v>
      </c>
      <c r="AF235" s="24">
        <f>IF(AQ235="2",BH235,0)</f>
        <v>0</v>
      </c>
      <c r="AG235" s="24">
        <f>IF(AQ235="2",BI235,0)</f>
        <v>0</v>
      </c>
      <c r="AH235" s="24">
        <f>IF(AQ235="0",BJ235,0)</f>
        <v>0</v>
      </c>
      <c r="AI235" s="9" t="s">
        <v>405</v>
      </c>
      <c r="AJ235" s="24">
        <f>IF(AN235=0,L235,0)</f>
        <v>0</v>
      </c>
      <c r="AK235" s="24">
        <f>IF(AN235=15,L235,0)</f>
        <v>0</v>
      </c>
      <c r="AL235" s="24">
        <f>IF(AN235=21,L235,0)</f>
        <v>0</v>
      </c>
      <c r="AN235" s="24">
        <v>21</v>
      </c>
      <c r="AO235" s="24">
        <f>I235*0</f>
        <v>0</v>
      </c>
      <c r="AP235" s="24">
        <f>I235*(1-0)</f>
        <v>0</v>
      </c>
      <c r="AQ235" s="30" t="s">
        <v>563</v>
      </c>
      <c r="AV235" s="24">
        <f>AW235+AX235</f>
        <v>0</v>
      </c>
      <c r="AW235" s="24">
        <f>H235*AO235</f>
        <v>0</v>
      </c>
      <c r="AX235" s="24">
        <f>H235*AP235</f>
        <v>0</v>
      </c>
      <c r="AY235" s="30" t="s">
        <v>321</v>
      </c>
      <c r="AZ235" s="30" t="s">
        <v>487</v>
      </c>
      <c r="BA235" s="9" t="s">
        <v>441</v>
      </c>
      <c r="BC235" s="24">
        <f>AW235+AX235</f>
        <v>0</v>
      </c>
      <c r="BD235" s="24">
        <f>I235/(100-BE235)*100</f>
        <v>0</v>
      </c>
      <c r="BE235" s="24">
        <v>0</v>
      </c>
      <c r="BF235" s="24">
        <f>235</f>
        <v>235</v>
      </c>
      <c r="BH235" s="24">
        <f>H235*AO235</f>
        <v>0</v>
      </c>
      <c r="BI235" s="24">
        <f>H235*AP235</f>
        <v>0</v>
      </c>
      <c r="BJ235" s="24">
        <f>H235*I235</f>
        <v>0</v>
      </c>
      <c r="BK235" s="24"/>
      <c r="BL235" s="24">
        <v>88</v>
      </c>
    </row>
    <row r="236" spans="1:64" ht="15" customHeight="1">
      <c r="A236" s="10"/>
      <c r="C236" s="34" t="s">
        <v>333</v>
      </c>
      <c r="F236" s="34" t="s">
        <v>405</v>
      </c>
      <c r="H236" s="3">
        <v>137.9</v>
      </c>
      <c r="M236" s="12"/>
    </row>
    <row r="237" spans="1:64" ht="15" customHeight="1">
      <c r="A237" s="39" t="s">
        <v>23</v>
      </c>
      <c r="B237" s="8" t="s">
        <v>435</v>
      </c>
      <c r="C237" s="55" t="s">
        <v>550</v>
      </c>
      <c r="D237" s="55"/>
      <c r="E237" s="55"/>
      <c r="F237" s="55"/>
      <c r="G237" s="8" t="s">
        <v>477</v>
      </c>
      <c r="H237" s="24">
        <v>144.79499999999999</v>
      </c>
      <c r="I237" s="24">
        <v>0</v>
      </c>
      <c r="J237" s="24">
        <f>H237*AO237</f>
        <v>0</v>
      </c>
      <c r="K237" s="24">
        <f>H237*AP237</f>
        <v>0</v>
      </c>
      <c r="L237" s="24">
        <f>H237*I237</f>
        <v>0</v>
      </c>
      <c r="M237" s="47" t="s">
        <v>399</v>
      </c>
      <c r="Z237" s="24">
        <f>IF(AQ237="5",BJ237,0)</f>
        <v>0</v>
      </c>
      <c r="AB237" s="24">
        <f>IF(AQ237="1",BH237,0)</f>
        <v>0</v>
      </c>
      <c r="AC237" s="24">
        <f>IF(AQ237="1",BI237,0)</f>
        <v>0</v>
      </c>
      <c r="AD237" s="24">
        <f>IF(AQ237="7",BH237,0)</f>
        <v>0</v>
      </c>
      <c r="AE237" s="24">
        <f>IF(AQ237="7",BI237,0)</f>
        <v>0</v>
      </c>
      <c r="AF237" s="24">
        <f>IF(AQ237="2",BH237,0)</f>
        <v>0</v>
      </c>
      <c r="AG237" s="24">
        <f>IF(AQ237="2",BI237,0)</f>
        <v>0</v>
      </c>
      <c r="AH237" s="24">
        <f>IF(AQ237="0",BJ237,0)</f>
        <v>0</v>
      </c>
      <c r="AI237" s="9" t="s">
        <v>405</v>
      </c>
      <c r="AJ237" s="24">
        <f>IF(AN237=0,L237,0)</f>
        <v>0</v>
      </c>
      <c r="AK237" s="24">
        <f>IF(AN237=15,L237,0)</f>
        <v>0</v>
      </c>
      <c r="AL237" s="24">
        <f>IF(AN237=21,L237,0)</f>
        <v>0</v>
      </c>
      <c r="AN237" s="24">
        <v>21</v>
      </c>
      <c r="AO237" s="24">
        <f>I237*1</f>
        <v>0</v>
      </c>
      <c r="AP237" s="24">
        <f>I237*(1-1)</f>
        <v>0</v>
      </c>
      <c r="AQ237" s="30" t="s">
        <v>563</v>
      </c>
      <c r="AV237" s="24">
        <f>AW237+AX237</f>
        <v>0</v>
      </c>
      <c r="AW237" s="24">
        <f>H237*AO237</f>
        <v>0</v>
      </c>
      <c r="AX237" s="24">
        <f>H237*AP237</f>
        <v>0</v>
      </c>
      <c r="AY237" s="30" t="s">
        <v>321</v>
      </c>
      <c r="AZ237" s="30" t="s">
        <v>487</v>
      </c>
      <c r="BA237" s="9" t="s">
        <v>441</v>
      </c>
      <c r="BC237" s="24">
        <f>AW237+AX237</f>
        <v>0</v>
      </c>
      <c r="BD237" s="24">
        <f>I237/(100-BE237)*100</f>
        <v>0</v>
      </c>
      <c r="BE237" s="24">
        <v>0</v>
      </c>
      <c r="BF237" s="24">
        <f>237</f>
        <v>237</v>
      </c>
      <c r="BH237" s="24">
        <f>H237*AO237</f>
        <v>0</v>
      </c>
      <c r="BI237" s="24">
        <f>H237*AP237</f>
        <v>0</v>
      </c>
      <c r="BJ237" s="24">
        <f>H237*I237</f>
        <v>0</v>
      </c>
      <c r="BK237" s="24"/>
      <c r="BL237" s="24">
        <v>88</v>
      </c>
    </row>
    <row r="238" spans="1:64" ht="15" customHeight="1">
      <c r="A238" s="10"/>
      <c r="C238" s="34" t="s">
        <v>604</v>
      </c>
      <c r="F238" s="34" t="s">
        <v>405</v>
      </c>
      <c r="H238" s="3">
        <v>144.79500000000002</v>
      </c>
      <c r="M238" s="12"/>
    </row>
    <row r="239" spans="1:64" ht="15" customHeight="1">
      <c r="A239" s="19" t="s">
        <v>405</v>
      </c>
      <c r="B239" s="26" t="s">
        <v>600</v>
      </c>
      <c r="C239" s="70" t="s">
        <v>375</v>
      </c>
      <c r="D239" s="70"/>
      <c r="E239" s="70"/>
      <c r="F239" s="70"/>
      <c r="G239" s="11" t="s">
        <v>529</v>
      </c>
      <c r="H239" s="11" t="s">
        <v>529</v>
      </c>
      <c r="I239" s="11" t="s">
        <v>529</v>
      </c>
      <c r="J239" s="31">
        <f>SUM(J240:J244)</f>
        <v>0</v>
      </c>
      <c r="K239" s="31">
        <f>SUM(K240:K244)</f>
        <v>0</v>
      </c>
      <c r="L239" s="31">
        <f>SUM(L240:L244)</f>
        <v>0</v>
      </c>
      <c r="M239" s="35" t="s">
        <v>405</v>
      </c>
      <c r="AI239" s="9" t="s">
        <v>405</v>
      </c>
      <c r="AS239" s="31">
        <f>SUM(AJ240:AJ244)</f>
        <v>0</v>
      </c>
      <c r="AT239" s="31">
        <f>SUM(AK240:AK244)</f>
        <v>0</v>
      </c>
      <c r="AU239" s="31">
        <f>SUM(AL240:AL244)</f>
        <v>0</v>
      </c>
    </row>
    <row r="240" spans="1:64" ht="15" customHeight="1">
      <c r="A240" s="39" t="s">
        <v>0</v>
      </c>
      <c r="B240" s="8" t="s">
        <v>86</v>
      </c>
      <c r="C240" s="55" t="s">
        <v>617</v>
      </c>
      <c r="D240" s="55"/>
      <c r="E240" s="55"/>
      <c r="F240" s="55"/>
      <c r="G240" s="8" t="s">
        <v>143</v>
      </c>
      <c r="H240" s="24">
        <v>1</v>
      </c>
      <c r="I240" s="24">
        <v>0</v>
      </c>
      <c r="J240" s="24">
        <f>H240*AO240</f>
        <v>0</v>
      </c>
      <c r="K240" s="24">
        <f>H240*AP240</f>
        <v>0</v>
      </c>
      <c r="L240" s="24">
        <f>H240*I240</f>
        <v>0</v>
      </c>
      <c r="M240" s="47" t="s">
        <v>399</v>
      </c>
      <c r="Z240" s="24">
        <f>IF(AQ240="5",BJ240,0)</f>
        <v>0</v>
      </c>
      <c r="AB240" s="24">
        <f>IF(AQ240="1",BH240,0)</f>
        <v>0</v>
      </c>
      <c r="AC240" s="24">
        <f>IF(AQ240="1",BI240,0)</f>
        <v>0</v>
      </c>
      <c r="AD240" s="24">
        <f>IF(AQ240="7",BH240,0)</f>
        <v>0</v>
      </c>
      <c r="AE240" s="24">
        <f>IF(AQ240="7",BI240,0)</f>
        <v>0</v>
      </c>
      <c r="AF240" s="24">
        <f>IF(AQ240="2",BH240,0)</f>
        <v>0</v>
      </c>
      <c r="AG240" s="24">
        <f>IF(AQ240="2",BI240,0)</f>
        <v>0</v>
      </c>
      <c r="AH240" s="24">
        <f>IF(AQ240="0",BJ240,0)</f>
        <v>0</v>
      </c>
      <c r="AI240" s="9" t="s">
        <v>405</v>
      </c>
      <c r="AJ240" s="24">
        <f>IF(AN240=0,L240,0)</f>
        <v>0</v>
      </c>
      <c r="AK240" s="24">
        <f>IF(AN240=15,L240,0)</f>
        <v>0</v>
      </c>
      <c r="AL240" s="24">
        <f>IF(AN240=21,L240,0)</f>
        <v>0</v>
      </c>
      <c r="AN240" s="24">
        <v>21</v>
      </c>
      <c r="AO240" s="24">
        <f>I240*0.689311562484577</f>
        <v>0</v>
      </c>
      <c r="AP240" s="24">
        <f>I240*(1-0.689311562484577)</f>
        <v>0</v>
      </c>
      <c r="AQ240" s="30" t="s">
        <v>563</v>
      </c>
      <c r="AV240" s="24">
        <f>AW240+AX240</f>
        <v>0</v>
      </c>
      <c r="AW240" s="24">
        <f>H240*AO240</f>
        <v>0</v>
      </c>
      <c r="AX240" s="24">
        <f>H240*AP240</f>
        <v>0</v>
      </c>
      <c r="AY240" s="30" t="s">
        <v>46</v>
      </c>
      <c r="AZ240" s="30" t="s">
        <v>487</v>
      </c>
      <c r="BA240" s="9" t="s">
        <v>441</v>
      </c>
      <c r="BC240" s="24">
        <f>AW240+AX240</f>
        <v>0</v>
      </c>
      <c r="BD240" s="24">
        <f>I240/(100-BE240)*100</f>
        <v>0</v>
      </c>
      <c r="BE240" s="24">
        <v>0</v>
      </c>
      <c r="BF240" s="24">
        <f>240</f>
        <v>240</v>
      </c>
      <c r="BH240" s="24">
        <f>H240*AO240</f>
        <v>0</v>
      </c>
      <c r="BI240" s="24">
        <f>H240*AP240</f>
        <v>0</v>
      </c>
      <c r="BJ240" s="24">
        <f>H240*I240</f>
        <v>0</v>
      </c>
      <c r="BK240" s="24"/>
      <c r="BL240" s="24">
        <v>89</v>
      </c>
    </row>
    <row r="241" spans="1:64" ht="15" customHeight="1">
      <c r="A241" s="10"/>
      <c r="C241" s="34" t="s">
        <v>506</v>
      </c>
      <c r="F241" s="34" t="s">
        <v>405</v>
      </c>
      <c r="H241" s="3">
        <v>1</v>
      </c>
      <c r="M241" s="12"/>
    </row>
    <row r="242" spans="1:64" ht="15" customHeight="1">
      <c r="A242" s="39" t="s">
        <v>520</v>
      </c>
      <c r="B242" s="8" t="s">
        <v>185</v>
      </c>
      <c r="C242" s="55" t="s">
        <v>342</v>
      </c>
      <c r="D242" s="55"/>
      <c r="E242" s="55"/>
      <c r="F242" s="55"/>
      <c r="G242" s="8" t="s">
        <v>143</v>
      </c>
      <c r="H242" s="24">
        <v>1</v>
      </c>
      <c r="I242" s="24">
        <v>0</v>
      </c>
      <c r="J242" s="24">
        <f>H242*AO242</f>
        <v>0</v>
      </c>
      <c r="K242" s="24">
        <f>H242*AP242</f>
        <v>0</v>
      </c>
      <c r="L242" s="24">
        <f>H242*I242</f>
        <v>0</v>
      </c>
      <c r="M242" s="47" t="s">
        <v>399</v>
      </c>
      <c r="Z242" s="24">
        <f>IF(AQ242="5",BJ242,0)</f>
        <v>0</v>
      </c>
      <c r="AB242" s="24">
        <f>IF(AQ242="1",BH242,0)</f>
        <v>0</v>
      </c>
      <c r="AC242" s="24">
        <f>IF(AQ242="1",BI242,0)</f>
        <v>0</v>
      </c>
      <c r="AD242" s="24">
        <f>IF(AQ242="7",BH242,0)</f>
        <v>0</v>
      </c>
      <c r="AE242" s="24">
        <f>IF(AQ242="7",BI242,0)</f>
        <v>0</v>
      </c>
      <c r="AF242" s="24">
        <f>IF(AQ242="2",BH242,0)</f>
        <v>0</v>
      </c>
      <c r="AG242" s="24">
        <f>IF(AQ242="2",BI242,0)</f>
        <v>0</v>
      </c>
      <c r="AH242" s="24">
        <f>IF(AQ242="0",BJ242,0)</f>
        <v>0</v>
      </c>
      <c r="AI242" s="9" t="s">
        <v>405</v>
      </c>
      <c r="AJ242" s="24">
        <f>IF(AN242=0,L242,0)</f>
        <v>0</v>
      </c>
      <c r="AK242" s="24">
        <f>IF(AN242=15,L242,0)</f>
        <v>0</v>
      </c>
      <c r="AL242" s="24">
        <f>IF(AN242=21,L242,0)</f>
        <v>0</v>
      </c>
      <c r="AN242" s="24">
        <v>21</v>
      </c>
      <c r="AO242" s="24">
        <f>I242*0.890897391304348</f>
        <v>0</v>
      </c>
      <c r="AP242" s="24">
        <f>I242*(1-0.890897391304348)</f>
        <v>0</v>
      </c>
      <c r="AQ242" s="30" t="s">
        <v>563</v>
      </c>
      <c r="AV242" s="24">
        <f>AW242+AX242</f>
        <v>0</v>
      </c>
      <c r="AW242" s="24">
        <f>H242*AO242</f>
        <v>0</v>
      </c>
      <c r="AX242" s="24">
        <f>H242*AP242</f>
        <v>0</v>
      </c>
      <c r="AY242" s="30" t="s">
        <v>46</v>
      </c>
      <c r="AZ242" s="30" t="s">
        <v>487</v>
      </c>
      <c r="BA242" s="9" t="s">
        <v>441</v>
      </c>
      <c r="BC242" s="24">
        <f>AW242+AX242</f>
        <v>0</v>
      </c>
      <c r="BD242" s="24">
        <f>I242/(100-BE242)*100</f>
        <v>0</v>
      </c>
      <c r="BE242" s="24">
        <v>0</v>
      </c>
      <c r="BF242" s="24">
        <f>242</f>
        <v>242</v>
      </c>
      <c r="BH242" s="24">
        <f>H242*AO242</f>
        <v>0</v>
      </c>
      <c r="BI242" s="24">
        <f>H242*AP242</f>
        <v>0</v>
      </c>
      <c r="BJ242" s="24">
        <f>H242*I242</f>
        <v>0</v>
      </c>
      <c r="BK242" s="24"/>
      <c r="BL242" s="24">
        <v>89</v>
      </c>
    </row>
    <row r="243" spans="1:64" ht="15" customHeight="1">
      <c r="A243" s="10"/>
      <c r="C243" s="34" t="s">
        <v>235</v>
      </c>
      <c r="F243" s="34" t="s">
        <v>405</v>
      </c>
      <c r="H243" s="3">
        <v>1</v>
      </c>
      <c r="M243" s="12"/>
    </row>
    <row r="244" spans="1:64" ht="15" customHeight="1">
      <c r="A244" s="39" t="s">
        <v>67</v>
      </c>
      <c r="B244" s="8" t="s">
        <v>365</v>
      </c>
      <c r="C244" s="55" t="s">
        <v>551</v>
      </c>
      <c r="D244" s="55"/>
      <c r="E244" s="55"/>
      <c r="F244" s="55"/>
      <c r="G244" s="8" t="s">
        <v>477</v>
      </c>
      <c r="H244" s="24">
        <v>137.9</v>
      </c>
      <c r="I244" s="24">
        <v>0</v>
      </c>
      <c r="J244" s="24">
        <f>H244*AO244</f>
        <v>0</v>
      </c>
      <c r="K244" s="24">
        <f>H244*AP244</f>
        <v>0</v>
      </c>
      <c r="L244" s="24">
        <f>H244*I244</f>
        <v>0</v>
      </c>
      <c r="M244" s="47" t="s">
        <v>399</v>
      </c>
      <c r="Z244" s="24">
        <f>IF(AQ244="5",BJ244,0)</f>
        <v>0</v>
      </c>
      <c r="AB244" s="24">
        <f>IF(AQ244="1",BH244,0)</f>
        <v>0</v>
      </c>
      <c r="AC244" s="24">
        <f>IF(AQ244="1",BI244,0)</f>
        <v>0</v>
      </c>
      <c r="AD244" s="24">
        <f>IF(AQ244="7",BH244,0)</f>
        <v>0</v>
      </c>
      <c r="AE244" s="24">
        <f>IF(AQ244="7",BI244,0)</f>
        <v>0</v>
      </c>
      <c r="AF244" s="24">
        <f>IF(AQ244="2",BH244,0)</f>
        <v>0</v>
      </c>
      <c r="AG244" s="24">
        <f>IF(AQ244="2",BI244,0)</f>
        <v>0</v>
      </c>
      <c r="AH244" s="24">
        <f>IF(AQ244="0",BJ244,0)</f>
        <v>0</v>
      </c>
      <c r="AI244" s="9" t="s">
        <v>405</v>
      </c>
      <c r="AJ244" s="24">
        <f>IF(AN244=0,L244,0)</f>
        <v>0</v>
      </c>
      <c r="AK244" s="24">
        <f>IF(AN244=15,L244,0)</f>
        <v>0</v>
      </c>
      <c r="AL244" s="24">
        <f>IF(AN244=21,L244,0)</f>
        <v>0</v>
      </c>
      <c r="AN244" s="24">
        <v>21</v>
      </c>
      <c r="AO244" s="24">
        <f>I244*0.0295666348483736</f>
        <v>0</v>
      </c>
      <c r="AP244" s="24">
        <f>I244*(1-0.0295666348483736)</f>
        <v>0</v>
      </c>
      <c r="AQ244" s="30" t="s">
        <v>563</v>
      </c>
      <c r="AV244" s="24">
        <f>AW244+AX244</f>
        <v>0</v>
      </c>
      <c r="AW244" s="24">
        <f>H244*AO244</f>
        <v>0</v>
      </c>
      <c r="AX244" s="24">
        <f>H244*AP244</f>
        <v>0</v>
      </c>
      <c r="AY244" s="30" t="s">
        <v>46</v>
      </c>
      <c r="AZ244" s="30" t="s">
        <v>487</v>
      </c>
      <c r="BA244" s="9" t="s">
        <v>441</v>
      </c>
      <c r="BC244" s="24">
        <f>AW244+AX244</f>
        <v>0</v>
      </c>
      <c r="BD244" s="24">
        <f>I244/(100-BE244)*100</f>
        <v>0</v>
      </c>
      <c r="BE244" s="24">
        <v>0</v>
      </c>
      <c r="BF244" s="24">
        <f>244</f>
        <v>244</v>
      </c>
      <c r="BH244" s="24">
        <f>H244*AO244</f>
        <v>0</v>
      </c>
      <c r="BI244" s="24">
        <f>H244*AP244</f>
        <v>0</v>
      </c>
      <c r="BJ244" s="24">
        <f>H244*I244</f>
        <v>0</v>
      </c>
      <c r="BK244" s="24"/>
      <c r="BL244" s="24">
        <v>89</v>
      </c>
    </row>
    <row r="245" spans="1:64" ht="15" customHeight="1">
      <c r="A245" s="10"/>
      <c r="C245" s="34" t="s">
        <v>333</v>
      </c>
      <c r="F245" s="34" t="s">
        <v>405</v>
      </c>
      <c r="H245" s="3">
        <v>137.9</v>
      </c>
      <c r="M245" s="12"/>
    </row>
    <row r="246" spans="1:64" ht="15" customHeight="1">
      <c r="A246" s="19" t="s">
        <v>405</v>
      </c>
      <c r="B246" s="26" t="s">
        <v>92</v>
      </c>
      <c r="C246" s="70" t="s">
        <v>559</v>
      </c>
      <c r="D246" s="70"/>
      <c r="E246" s="70"/>
      <c r="F246" s="70"/>
      <c r="G246" s="11" t="s">
        <v>529</v>
      </c>
      <c r="H246" s="11" t="s">
        <v>529</v>
      </c>
      <c r="I246" s="11" t="s">
        <v>529</v>
      </c>
      <c r="J246" s="31">
        <f>SUM(J247:J247)</f>
        <v>0</v>
      </c>
      <c r="K246" s="31">
        <f>SUM(K247:K247)</f>
        <v>0</v>
      </c>
      <c r="L246" s="31">
        <f>SUM(L247:L247)</f>
        <v>0</v>
      </c>
      <c r="M246" s="35" t="s">
        <v>405</v>
      </c>
      <c r="AI246" s="9" t="s">
        <v>405</v>
      </c>
      <c r="AS246" s="31">
        <f>SUM(AJ247:AJ247)</f>
        <v>0</v>
      </c>
      <c r="AT246" s="31">
        <f>SUM(AK247:AK247)</f>
        <v>0</v>
      </c>
      <c r="AU246" s="31">
        <f>SUM(AL247:AL247)</f>
        <v>0</v>
      </c>
    </row>
    <row r="247" spans="1:64" ht="15" customHeight="1">
      <c r="A247" s="39" t="s">
        <v>228</v>
      </c>
      <c r="B247" s="8" t="s">
        <v>237</v>
      </c>
      <c r="C247" s="55" t="s">
        <v>134</v>
      </c>
      <c r="D247" s="55"/>
      <c r="E247" s="55"/>
      <c r="F247" s="55"/>
      <c r="G247" s="8" t="s">
        <v>433</v>
      </c>
      <c r="H247" s="24">
        <v>1</v>
      </c>
      <c r="I247" s="24">
        <v>0</v>
      </c>
      <c r="J247" s="24">
        <f>H247*AO247</f>
        <v>0</v>
      </c>
      <c r="K247" s="24">
        <f>H247*AP247</f>
        <v>0</v>
      </c>
      <c r="L247" s="24">
        <f>H247*I247</f>
        <v>0</v>
      </c>
      <c r="M247" s="47" t="s">
        <v>405</v>
      </c>
      <c r="Z247" s="24">
        <f>IF(AQ247="5",BJ247,0)</f>
        <v>0</v>
      </c>
      <c r="AB247" s="24">
        <f>IF(AQ247="1",BH247,0)</f>
        <v>0</v>
      </c>
      <c r="AC247" s="24">
        <f>IF(AQ247="1",BI247,0)</f>
        <v>0</v>
      </c>
      <c r="AD247" s="24">
        <f>IF(AQ247="7",BH247,0)</f>
        <v>0</v>
      </c>
      <c r="AE247" s="24">
        <f>IF(AQ247="7",BI247,0)</f>
        <v>0</v>
      </c>
      <c r="AF247" s="24">
        <f>IF(AQ247="2",BH247,0)</f>
        <v>0</v>
      </c>
      <c r="AG247" s="24">
        <f>IF(AQ247="2",BI247,0)</f>
        <v>0</v>
      </c>
      <c r="AH247" s="24">
        <f>IF(AQ247="0",BJ247,0)</f>
        <v>0</v>
      </c>
      <c r="AI247" s="9" t="s">
        <v>405</v>
      </c>
      <c r="AJ247" s="24">
        <f>IF(AN247=0,L247,0)</f>
        <v>0</v>
      </c>
      <c r="AK247" s="24">
        <f>IF(AN247=15,L247,0)</f>
        <v>0</v>
      </c>
      <c r="AL247" s="24">
        <f>IF(AN247=21,L247,0)</f>
        <v>0</v>
      </c>
      <c r="AN247" s="24">
        <v>21</v>
      </c>
      <c r="AO247" s="24">
        <f>I247*0</f>
        <v>0</v>
      </c>
      <c r="AP247" s="24">
        <f>I247*(1-0)</f>
        <v>0</v>
      </c>
      <c r="AQ247" s="30" t="s">
        <v>563</v>
      </c>
      <c r="AV247" s="24">
        <f>AW247+AX247</f>
        <v>0</v>
      </c>
      <c r="AW247" s="24">
        <f>H247*AO247</f>
        <v>0</v>
      </c>
      <c r="AX247" s="24">
        <f>H247*AP247</f>
        <v>0</v>
      </c>
      <c r="AY247" s="30" t="s">
        <v>315</v>
      </c>
      <c r="AZ247" s="30" t="s">
        <v>487</v>
      </c>
      <c r="BA247" s="9" t="s">
        <v>441</v>
      </c>
      <c r="BC247" s="24">
        <f>AW247+AX247</f>
        <v>0</v>
      </c>
      <c r="BD247" s="24">
        <f>I247/(100-BE247)*100</f>
        <v>0</v>
      </c>
      <c r="BE247" s="24">
        <v>0</v>
      </c>
      <c r="BF247" s="24">
        <f>247</f>
        <v>247</v>
      </c>
      <c r="BH247" s="24">
        <f>H247*AO247</f>
        <v>0</v>
      </c>
      <c r="BI247" s="24">
        <f>H247*AP247</f>
        <v>0</v>
      </c>
      <c r="BJ247" s="24">
        <f>H247*I247</f>
        <v>0</v>
      </c>
      <c r="BK247" s="24"/>
      <c r="BL247" s="24">
        <v>891</v>
      </c>
    </row>
    <row r="248" spans="1:64" ht="15" customHeight="1">
      <c r="A248" s="10"/>
      <c r="C248" s="34" t="s">
        <v>563</v>
      </c>
      <c r="F248" s="34" t="s">
        <v>405</v>
      </c>
      <c r="H248" s="3">
        <v>1</v>
      </c>
      <c r="M248" s="12"/>
    </row>
    <row r="249" spans="1:64" ht="15" customHeight="1">
      <c r="A249" s="19" t="s">
        <v>405</v>
      </c>
      <c r="B249" s="26" t="s">
        <v>490</v>
      </c>
      <c r="C249" s="70" t="s">
        <v>289</v>
      </c>
      <c r="D249" s="70"/>
      <c r="E249" s="70"/>
      <c r="F249" s="70"/>
      <c r="G249" s="11" t="s">
        <v>529</v>
      </c>
      <c r="H249" s="11" t="s">
        <v>529</v>
      </c>
      <c r="I249" s="11" t="s">
        <v>529</v>
      </c>
      <c r="J249" s="31">
        <f>SUM(J250:J250)</f>
        <v>0</v>
      </c>
      <c r="K249" s="31">
        <f>SUM(K250:K250)</f>
        <v>0</v>
      </c>
      <c r="L249" s="31">
        <f>SUM(L250:L250)</f>
        <v>0</v>
      </c>
      <c r="M249" s="35" t="s">
        <v>405</v>
      </c>
      <c r="AI249" s="9" t="s">
        <v>405</v>
      </c>
      <c r="AS249" s="31">
        <f>SUM(AJ250:AJ250)</f>
        <v>0</v>
      </c>
      <c r="AT249" s="31">
        <f>SUM(AK250:AK250)</f>
        <v>0</v>
      </c>
      <c r="AU249" s="31">
        <f>SUM(AL250:AL250)</f>
        <v>0</v>
      </c>
    </row>
    <row r="250" spans="1:64" ht="15" customHeight="1">
      <c r="A250" s="39" t="s">
        <v>323</v>
      </c>
      <c r="B250" s="8" t="s">
        <v>565</v>
      </c>
      <c r="C250" s="55" t="s">
        <v>4</v>
      </c>
      <c r="D250" s="55"/>
      <c r="E250" s="55"/>
      <c r="F250" s="55"/>
      <c r="G250" s="8" t="s">
        <v>143</v>
      </c>
      <c r="H250" s="24">
        <v>6</v>
      </c>
      <c r="I250" s="24">
        <v>0</v>
      </c>
      <c r="J250" s="24">
        <f>H250*AO250</f>
        <v>0</v>
      </c>
      <c r="K250" s="24">
        <f>H250*AP250</f>
        <v>0</v>
      </c>
      <c r="L250" s="24">
        <f>H250*I250</f>
        <v>0</v>
      </c>
      <c r="M250" s="47" t="s">
        <v>405</v>
      </c>
      <c r="Z250" s="24">
        <f>IF(AQ250="5",BJ250,0)</f>
        <v>0</v>
      </c>
      <c r="AB250" s="24">
        <f>IF(AQ250="1",BH250,0)</f>
        <v>0</v>
      </c>
      <c r="AC250" s="24">
        <f>IF(AQ250="1",BI250,0)</f>
        <v>0</v>
      </c>
      <c r="AD250" s="24">
        <f>IF(AQ250="7",BH250,0)</f>
        <v>0</v>
      </c>
      <c r="AE250" s="24">
        <f>IF(AQ250="7",BI250,0)</f>
        <v>0</v>
      </c>
      <c r="AF250" s="24">
        <f>IF(AQ250="2",BH250,0)</f>
        <v>0</v>
      </c>
      <c r="AG250" s="24">
        <f>IF(AQ250="2",BI250,0)</f>
        <v>0</v>
      </c>
      <c r="AH250" s="24">
        <f>IF(AQ250="0",BJ250,0)</f>
        <v>0</v>
      </c>
      <c r="AI250" s="9" t="s">
        <v>405</v>
      </c>
      <c r="AJ250" s="24">
        <f>IF(AN250=0,L250,0)</f>
        <v>0</v>
      </c>
      <c r="AK250" s="24">
        <f>IF(AN250=15,L250,0)</f>
        <v>0</v>
      </c>
      <c r="AL250" s="24">
        <f>IF(AN250=21,L250,0)</f>
        <v>0</v>
      </c>
      <c r="AN250" s="24">
        <v>21</v>
      </c>
      <c r="AO250" s="24">
        <f>I250*0.666666</f>
        <v>0</v>
      </c>
      <c r="AP250" s="24">
        <f>I250*(1-0.666666)</f>
        <v>0</v>
      </c>
      <c r="AQ250" s="30" t="s">
        <v>563</v>
      </c>
      <c r="AV250" s="24">
        <f>AW250+AX250</f>
        <v>0</v>
      </c>
      <c r="AW250" s="24">
        <f>H250*AO250</f>
        <v>0</v>
      </c>
      <c r="AX250" s="24">
        <f>H250*AP250</f>
        <v>0</v>
      </c>
      <c r="AY250" s="30" t="s">
        <v>636</v>
      </c>
      <c r="AZ250" s="30" t="s">
        <v>487</v>
      </c>
      <c r="BA250" s="9" t="s">
        <v>441</v>
      </c>
      <c r="BC250" s="24">
        <f>AW250+AX250</f>
        <v>0</v>
      </c>
      <c r="BD250" s="24">
        <f>I250/(100-BE250)*100</f>
        <v>0</v>
      </c>
      <c r="BE250" s="24">
        <v>0</v>
      </c>
      <c r="BF250" s="24">
        <f>250</f>
        <v>250</v>
      </c>
      <c r="BH250" s="24">
        <f>H250*AO250</f>
        <v>0</v>
      </c>
      <c r="BI250" s="24">
        <f>H250*AP250</f>
        <v>0</v>
      </c>
      <c r="BJ250" s="24">
        <f>H250*I250</f>
        <v>0</v>
      </c>
      <c r="BK250" s="24"/>
      <c r="BL250" s="24">
        <v>894</v>
      </c>
    </row>
    <row r="251" spans="1:64" ht="15" customHeight="1">
      <c r="A251" s="10"/>
      <c r="C251" s="34" t="s">
        <v>158</v>
      </c>
      <c r="F251" s="34" t="s">
        <v>405</v>
      </c>
      <c r="H251" s="3">
        <v>5</v>
      </c>
      <c r="M251" s="12"/>
    </row>
    <row r="252" spans="1:64" ht="15" customHeight="1">
      <c r="A252" s="10"/>
      <c r="C252" s="34" t="s">
        <v>194</v>
      </c>
      <c r="F252" s="34" t="s">
        <v>405</v>
      </c>
      <c r="H252" s="3">
        <v>1</v>
      </c>
      <c r="M252" s="12"/>
    </row>
    <row r="253" spans="1:64" ht="15" customHeight="1">
      <c r="A253" s="19" t="s">
        <v>405</v>
      </c>
      <c r="B253" s="26" t="s">
        <v>520</v>
      </c>
      <c r="C253" s="70" t="s">
        <v>222</v>
      </c>
      <c r="D253" s="70"/>
      <c r="E253" s="70"/>
      <c r="F253" s="70"/>
      <c r="G253" s="11" t="s">
        <v>529</v>
      </c>
      <c r="H253" s="11" t="s">
        <v>529</v>
      </c>
      <c r="I253" s="11" t="s">
        <v>529</v>
      </c>
      <c r="J253" s="31">
        <f>SUM(J254:J254)</f>
        <v>0</v>
      </c>
      <c r="K253" s="31">
        <f>SUM(K254:K254)</f>
        <v>0</v>
      </c>
      <c r="L253" s="31">
        <f>SUM(L254:L254)</f>
        <v>0</v>
      </c>
      <c r="M253" s="35" t="s">
        <v>405</v>
      </c>
      <c r="AI253" s="9" t="s">
        <v>405</v>
      </c>
      <c r="AS253" s="31">
        <f>SUM(AJ254:AJ254)</f>
        <v>0</v>
      </c>
      <c r="AT253" s="31">
        <f>SUM(AK254:AK254)</f>
        <v>0</v>
      </c>
      <c r="AU253" s="31">
        <f>SUM(AL254:AL254)</f>
        <v>0</v>
      </c>
    </row>
    <row r="254" spans="1:64" ht="15" customHeight="1">
      <c r="A254" s="39" t="s">
        <v>66</v>
      </c>
      <c r="B254" s="8" t="s">
        <v>209</v>
      </c>
      <c r="C254" s="55" t="s">
        <v>633</v>
      </c>
      <c r="D254" s="55"/>
      <c r="E254" s="55"/>
      <c r="F254" s="55"/>
      <c r="G254" s="8" t="s">
        <v>556</v>
      </c>
      <c r="H254" s="24">
        <v>280.28800000000001</v>
      </c>
      <c r="I254" s="24">
        <v>0</v>
      </c>
      <c r="J254" s="24">
        <f>H254*AO254</f>
        <v>0</v>
      </c>
      <c r="K254" s="24">
        <f>H254*AP254</f>
        <v>0</v>
      </c>
      <c r="L254" s="24">
        <f>H254*I254</f>
        <v>0</v>
      </c>
      <c r="M254" s="47" t="s">
        <v>399</v>
      </c>
      <c r="Z254" s="24">
        <f>IF(AQ254="5",BJ254,0)</f>
        <v>0</v>
      </c>
      <c r="AB254" s="24">
        <f>IF(AQ254="1",BH254,0)</f>
        <v>0</v>
      </c>
      <c r="AC254" s="24">
        <f>IF(AQ254="1",BI254,0)</f>
        <v>0</v>
      </c>
      <c r="AD254" s="24">
        <f>IF(AQ254="7",BH254,0)</f>
        <v>0</v>
      </c>
      <c r="AE254" s="24">
        <f>IF(AQ254="7",BI254,0)</f>
        <v>0</v>
      </c>
      <c r="AF254" s="24">
        <f>IF(AQ254="2",BH254,0)</f>
        <v>0</v>
      </c>
      <c r="AG254" s="24">
        <f>IF(AQ254="2",BI254,0)</f>
        <v>0</v>
      </c>
      <c r="AH254" s="24">
        <f>IF(AQ254="0",BJ254,0)</f>
        <v>0</v>
      </c>
      <c r="AI254" s="9" t="s">
        <v>405</v>
      </c>
      <c r="AJ254" s="24">
        <f>IF(AN254=0,L254,0)</f>
        <v>0</v>
      </c>
      <c r="AK254" s="24">
        <f>IF(AN254=15,L254,0)</f>
        <v>0</v>
      </c>
      <c r="AL254" s="24">
        <f>IF(AN254=21,L254,0)</f>
        <v>0</v>
      </c>
      <c r="AN254" s="24">
        <v>21</v>
      </c>
      <c r="AO254" s="24">
        <f>I254*0.550812493217228</f>
        <v>0</v>
      </c>
      <c r="AP254" s="24">
        <f>I254*(1-0.550812493217228)</f>
        <v>0</v>
      </c>
      <c r="AQ254" s="30" t="s">
        <v>563</v>
      </c>
      <c r="AV254" s="24">
        <f>AW254+AX254</f>
        <v>0</v>
      </c>
      <c r="AW254" s="24">
        <f>H254*AO254</f>
        <v>0</v>
      </c>
      <c r="AX254" s="24">
        <f>H254*AP254</f>
        <v>0</v>
      </c>
      <c r="AY254" s="30" t="s">
        <v>581</v>
      </c>
      <c r="AZ254" s="30" t="s">
        <v>205</v>
      </c>
      <c r="BA254" s="9" t="s">
        <v>441</v>
      </c>
      <c r="BC254" s="24">
        <f>AW254+AX254</f>
        <v>0</v>
      </c>
      <c r="BD254" s="24">
        <f>I254/(100-BE254)*100</f>
        <v>0</v>
      </c>
      <c r="BE254" s="24">
        <v>0</v>
      </c>
      <c r="BF254" s="24">
        <f>254</f>
        <v>254</v>
      </c>
      <c r="BH254" s="24">
        <f>H254*AO254</f>
        <v>0</v>
      </c>
      <c r="BI254" s="24">
        <f>H254*AP254</f>
        <v>0</v>
      </c>
      <c r="BJ254" s="24">
        <f>H254*I254</f>
        <v>0</v>
      </c>
      <c r="BK254" s="24"/>
      <c r="BL254" s="24">
        <v>93</v>
      </c>
    </row>
    <row r="255" spans="1:64" ht="15" customHeight="1">
      <c r="A255" s="10"/>
      <c r="C255" s="34" t="s">
        <v>261</v>
      </c>
      <c r="F255" s="34" t="s">
        <v>405</v>
      </c>
      <c r="H255" s="3">
        <v>65.135600000000011</v>
      </c>
      <c r="M255" s="12"/>
    </row>
    <row r="256" spans="1:64" ht="15" customHeight="1">
      <c r="A256" s="10"/>
      <c r="C256" s="34" t="s">
        <v>571</v>
      </c>
      <c r="F256" s="34" t="s">
        <v>405</v>
      </c>
      <c r="H256" s="3">
        <v>48.046600000000005</v>
      </c>
      <c r="M256" s="12"/>
    </row>
    <row r="257" spans="1:64" ht="15" customHeight="1">
      <c r="A257" s="10"/>
      <c r="C257" s="34" t="s">
        <v>591</v>
      </c>
      <c r="F257" s="34" t="s">
        <v>405</v>
      </c>
      <c r="H257" s="3">
        <v>82.102700000000013</v>
      </c>
      <c r="M257" s="12"/>
    </row>
    <row r="258" spans="1:64" ht="15" customHeight="1">
      <c r="A258" s="10"/>
      <c r="C258" s="34" t="s">
        <v>232</v>
      </c>
      <c r="F258" s="34" t="s">
        <v>405</v>
      </c>
      <c r="H258" s="3">
        <v>85.003100000000003</v>
      </c>
      <c r="M258" s="12"/>
    </row>
    <row r="259" spans="1:64" ht="15" customHeight="1">
      <c r="A259" s="10"/>
      <c r="C259" s="34" t="s">
        <v>577</v>
      </c>
      <c r="F259" s="34" t="s">
        <v>405</v>
      </c>
      <c r="H259" s="3">
        <v>0</v>
      </c>
      <c r="M259" s="12"/>
    </row>
    <row r="260" spans="1:64" ht="15" customHeight="1">
      <c r="A260" s="19" t="s">
        <v>405</v>
      </c>
      <c r="B260" s="26" t="s">
        <v>204</v>
      </c>
      <c r="C260" s="70" t="s">
        <v>301</v>
      </c>
      <c r="D260" s="70"/>
      <c r="E260" s="70"/>
      <c r="F260" s="70"/>
      <c r="G260" s="11" t="s">
        <v>529</v>
      </c>
      <c r="H260" s="11" t="s">
        <v>529</v>
      </c>
      <c r="I260" s="11" t="s">
        <v>529</v>
      </c>
      <c r="J260" s="31">
        <f>SUM(J261:J261)</f>
        <v>0</v>
      </c>
      <c r="K260" s="31">
        <f>SUM(K261:K261)</f>
        <v>0</v>
      </c>
      <c r="L260" s="31">
        <f>SUM(L261:L261)</f>
        <v>0</v>
      </c>
      <c r="M260" s="35" t="s">
        <v>405</v>
      </c>
      <c r="AI260" s="9" t="s">
        <v>405</v>
      </c>
      <c r="AS260" s="31">
        <f>SUM(AJ261:AJ261)</f>
        <v>0</v>
      </c>
      <c r="AT260" s="31">
        <f>SUM(AK261:AK261)</f>
        <v>0</v>
      </c>
      <c r="AU260" s="31">
        <f>SUM(AL261:AL261)</f>
        <v>0</v>
      </c>
    </row>
    <row r="261" spans="1:64" ht="15" customHeight="1">
      <c r="A261" s="39" t="s">
        <v>409</v>
      </c>
      <c r="B261" s="8" t="s">
        <v>90</v>
      </c>
      <c r="C261" s="55" t="s">
        <v>198</v>
      </c>
      <c r="D261" s="55"/>
      <c r="E261" s="55"/>
      <c r="F261" s="55"/>
      <c r="G261" s="8" t="s">
        <v>269</v>
      </c>
      <c r="H261" s="24">
        <v>0.3695</v>
      </c>
      <c r="I261" s="24">
        <v>0</v>
      </c>
      <c r="J261" s="24">
        <f>H261*AO261</f>
        <v>0</v>
      </c>
      <c r="K261" s="24">
        <f>H261*AP261</f>
        <v>0</v>
      </c>
      <c r="L261" s="24">
        <f>H261*I261</f>
        <v>0</v>
      </c>
      <c r="M261" s="47" t="s">
        <v>399</v>
      </c>
      <c r="Z261" s="24">
        <f>IF(AQ261="5",BJ261,0)</f>
        <v>0</v>
      </c>
      <c r="AB261" s="24">
        <f>IF(AQ261="1",BH261,0)</f>
        <v>0</v>
      </c>
      <c r="AC261" s="24">
        <f>IF(AQ261="1",BI261,0)</f>
        <v>0</v>
      </c>
      <c r="AD261" s="24">
        <f>IF(AQ261="7",BH261,0)</f>
        <v>0</v>
      </c>
      <c r="AE261" s="24">
        <f>IF(AQ261="7",BI261,0)</f>
        <v>0</v>
      </c>
      <c r="AF261" s="24">
        <f>IF(AQ261="2",BH261,0)</f>
        <v>0</v>
      </c>
      <c r="AG261" s="24">
        <f>IF(AQ261="2",BI261,0)</f>
        <v>0</v>
      </c>
      <c r="AH261" s="24">
        <f>IF(AQ261="0",BJ261,0)</f>
        <v>0</v>
      </c>
      <c r="AI261" s="9" t="s">
        <v>405</v>
      </c>
      <c r="AJ261" s="24">
        <f>IF(AN261=0,L261,0)</f>
        <v>0</v>
      </c>
      <c r="AK261" s="24">
        <f>IF(AN261=15,L261,0)</f>
        <v>0</v>
      </c>
      <c r="AL261" s="24">
        <f>IF(AN261=21,L261,0)</f>
        <v>0</v>
      </c>
      <c r="AN261" s="24">
        <v>21</v>
      </c>
      <c r="AO261" s="24">
        <f>I261*0</f>
        <v>0</v>
      </c>
      <c r="AP261" s="24">
        <f>I261*(1-0)</f>
        <v>0</v>
      </c>
      <c r="AQ261" s="30" t="s">
        <v>311</v>
      </c>
      <c r="AV261" s="24">
        <f>AW261+AX261</f>
        <v>0</v>
      </c>
      <c r="AW261" s="24">
        <f>H261*AO261</f>
        <v>0</v>
      </c>
      <c r="AX261" s="24">
        <f>H261*AP261</f>
        <v>0</v>
      </c>
      <c r="AY261" s="30" t="s">
        <v>181</v>
      </c>
      <c r="AZ261" s="30" t="s">
        <v>205</v>
      </c>
      <c r="BA261" s="9" t="s">
        <v>441</v>
      </c>
      <c r="BC261" s="24">
        <f>AW261+AX261</f>
        <v>0</v>
      </c>
      <c r="BD261" s="24">
        <f>I261/(100-BE261)*100</f>
        <v>0</v>
      </c>
      <c r="BE261" s="24">
        <v>0</v>
      </c>
      <c r="BF261" s="24">
        <f>261</f>
        <v>261</v>
      </c>
      <c r="BH261" s="24">
        <f>H261*AO261</f>
        <v>0</v>
      </c>
      <c r="BI261" s="24">
        <f>H261*AP261</f>
        <v>0</v>
      </c>
      <c r="BJ261" s="24">
        <f>H261*I261</f>
        <v>0</v>
      </c>
      <c r="BK261" s="24"/>
      <c r="BL261" s="24"/>
    </row>
    <row r="262" spans="1:64" ht="15" customHeight="1">
      <c r="A262" s="10"/>
      <c r="C262" s="34" t="s">
        <v>516</v>
      </c>
      <c r="F262" s="34" t="s">
        <v>405</v>
      </c>
      <c r="H262" s="3">
        <v>0.36950000000000005</v>
      </c>
      <c r="M262" s="12"/>
    </row>
    <row r="263" spans="1:64" ht="15" customHeight="1">
      <c r="A263" s="19" t="s">
        <v>405</v>
      </c>
      <c r="B263" s="26" t="s">
        <v>327</v>
      </c>
      <c r="C263" s="70" t="s">
        <v>317</v>
      </c>
      <c r="D263" s="70"/>
      <c r="E263" s="70"/>
      <c r="F263" s="70"/>
      <c r="G263" s="11" t="s">
        <v>529</v>
      </c>
      <c r="H263" s="11" t="s">
        <v>529</v>
      </c>
      <c r="I263" s="11" t="s">
        <v>529</v>
      </c>
      <c r="J263" s="31">
        <f>SUM(J264:J264)</f>
        <v>0</v>
      </c>
      <c r="K263" s="31">
        <f>SUM(K264:K264)</f>
        <v>0</v>
      </c>
      <c r="L263" s="31">
        <f>SUM(L264:L264)</f>
        <v>0</v>
      </c>
      <c r="M263" s="35" t="s">
        <v>405</v>
      </c>
      <c r="AI263" s="9" t="s">
        <v>405</v>
      </c>
      <c r="AS263" s="31">
        <f>SUM(AJ264:AJ264)</f>
        <v>0</v>
      </c>
      <c r="AT263" s="31">
        <f>SUM(AK264:AK264)</f>
        <v>0</v>
      </c>
      <c r="AU263" s="31">
        <f>SUM(AL264:AL264)</f>
        <v>0</v>
      </c>
    </row>
    <row r="264" spans="1:64" ht="15" customHeight="1">
      <c r="A264" s="39" t="s">
        <v>274</v>
      </c>
      <c r="B264" s="8" t="s">
        <v>498</v>
      </c>
      <c r="C264" s="55" t="s">
        <v>396</v>
      </c>
      <c r="D264" s="55"/>
      <c r="E264" s="55"/>
      <c r="F264" s="55"/>
      <c r="G264" s="8" t="s">
        <v>269</v>
      </c>
      <c r="H264" s="24">
        <v>187.98732000000001</v>
      </c>
      <c r="I264" s="24">
        <v>0</v>
      </c>
      <c r="J264" s="24">
        <f>H264*AO264</f>
        <v>0</v>
      </c>
      <c r="K264" s="24">
        <f>H264*AP264</f>
        <v>0</v>
      </c>
      <c r="L264" s="24">
        <f>H264*I264</f>
        <v>0</v>
      </c>
      <c r="M264" s="47" t="s">
        <v>399</v>
      </c>
      <c r="Z264" s="24">
        <f>IF(AQ264="5",BJ264,0)</f>
        <v>0</v>
      </c>
      <c r="AB264" s="24">
        <f>IF(AQ264="1",BH264,0)</f>
        <v>0</v>
      </c>
      <c r="AC264" s="24">
        <f>IF(AQ264="1",BI264,0)</f>
        <v>0</v>
      </c>
      <c r="AD264" s="24">
        <f>IF(AQ264="7",BH264,0)</f>
        <v>0</v>
      </c>
      <c r="AE264" s="24">
        <f>IF(AQ264="7",BI264,0)</f>
        <v>0</v>
      </c>
      <c r="AF264" s="24">
        <f>IF(AQ264="2",BH264,0)</f>
        <v>0</v>
      </c>
      <c r="AG264" s="24">
        <f>IF(AQ264="2",BI264,0)</f>
        <v>0</v>
      </c>
      <c r="AH264" s="24">
        <f>IF(AQ264="0",BJ264,0)</f>
        <v>0</v>
      </c>
      <c r="AI264" s="9" t="s">
        <v>405</v>
      </c>
      <c r="AJ264" s="24">
        <f>IF(AN264=0,L264,0)</f>
        <v>0</v>
      </c>
      <c r="AK264" s="24">
        <f>IF(AN264=15,L264,0)</f>
        <v>0</v>
      </c>
      <c r="AL264" s="24">
        <f>IF(AN264=21,L264,0)</f>
        <v>0</v>
      </c>
      <c r="AN264" s="24">
        <v>21</v>
      </c>
      <c r="AO264" s="24">
        <f>I264*0</f>
        <v>0</v>
      </c>
      <c r="AP264" s="24">
        <f>I264*(1-0)</f>
        <v>0</v>
      </c>
      <c r="AQ264" s="30" t="s">
        <v>311</v>
      </c>
      <c r="AV264" s="24">
        <f>AW264+AX264</f>
        <v>0</v>
      </c>
      <c r="AW264" s="24">
        <f>H264*AO264</f>
        <v>0</v>
      </c>
      <c r="AX264" s="24">
        <f>H264*AP264</f>
        <v>0</v>
      </c>
      <c r="AY264" s="30" t="s">
        <v>172</v>
      </c>
      <c r="AZ264" s="30" t="s">
        <v>205</v>
      </c>
      <c r="BA264" s="9" t="s">
        <v>441</v>
      </c>
      <c r="BC264" s="24">
        <f>AW264+AX264</f>
        <v>0</v>
      </c>
      <c r="BD264" s="24">
        <f>I264/(100-BE264)*100</f>
        <v>0</v>
      </c>
      <c r="BE264" s="24">
        <v>0</v>
      </c>
      <c r="BF264" s="24">
        <f>264</f>
        <v>264</v>
      </c>
      <c r="BH264" s="24">
        <f>H264*AO264</f>
        <v>0</v>
      </c>
      <c r="BI264" s="24">
        <f>H264*AP264</f>
        <v>0</v>
      </c>
      <c r="BJ264" s="24">
        <f>H264*I264</f>
        <v>0</v>
      </c>
      <c r="BK264" s="24"/>
      <c r="BL264" s="24"/>
    </row>
    <row r="265" spans="1:64" ht="15" customHeight="1">
      <c r="A265" s="10"/>
      <c r="C265" s="34" t="s">
        <v>355</v>
      </c>
      <c r="F265" s="34" t="s">
        <v>405</v>
      </c>
      <c r="H265" s="3">
        <v>187.98732000000001</v>
      </c>
      <c r="M265" s="12"/>
    </row>
    <row r="266" spans="1:64" ht="15" customHeight="1">
      <c r="A266" s="19" t="s">
        <v>405</v>
      </c>
      <c r="B266" s="26" t="s">
        <v>597</v>
      </c>
      <c r="C266" s="70" t="s">
        <v>193</v>
      </c>
      <c r="D266" s="70"/>
      <c r="E266" s="70"/>
      <c r="F266" s="70"/>
      <c r="G266" s="11" t="s">
        <v>529</v>
      </c>
      <c r="H266" s="11" t="s">
        <v>529</v>
      </c>
      <c r="I266" s="11" t="s">
        <v>529</v>
      </c>
      <c r="J266" s="31">
        <f>SUM(J267:J267)</f>
        <v>0</v>
      </c>
      <c r="K266" s="31">
        <f>SUM(K267:K267)</f>
        <v>0</v>
      </c>
      <c r="L266" s="31">
        <f>SUM(L267:L267)</f>
        <v>0</v>
      </c>
      <c r="M266" s="35" t="s">
        <v>405</v>
      </c>
      <c r="AI266" s="9" t="s">
        <v>405</v>
      </c>
      <c r="AS266" s="31">
        <f>SUM(AJ267:AJ267)</f>
        <v>0</v>
      </c>
      <c r="AT266" s="31">
        <f>SUM(AK267:AK267)</f>
        <v>0</v>
      </c>
      <c r="AU266" s="31">
        <f>SUM(AL267:AL267)</f>
        <v>0</v>
      </c>
    </row>
    <row r="267" spans="1:64" ht="15" customHeight="1">
      <c r="A267" s="39" t="s">
        <v>470</v>
      </c>
      <c r="B267" s="8" t="s">
        <v>122</v>
      </c>
      <c r="C267" s="55" t="s">
        <v>104</v>
      </c>
      <c r="D267" s="55"/>
      <c r="E267" s="55"/>
      <c r="F267" s="55"/>
      <c r="G267" s="8" t="s">
        <v>269</v>
      </c>
      <c r="H267" s="24">
        <v>3.11517</v>
      </c>
      <c r="I267" s="24">
        <v>0</v>
      </c>
      <c r="J267" s="24">
        <f>H267*AO267</f>
        <v>0</v>
      </c>
      <c r="K267" s="24">
        <f>H267*AP267</f>
        <v>0</v>
      </c>
      <c r="L267" s="24">
        <f>H267*I267</f>
        <v>0</v>
      </c>
      <c r="M267" s="47" t="s">
        <v>399</v>
      </c>
      <c r="Z267" s="24">
        <f>IF(AQ267="5",BJ267,0)</f>
        <v>0</v>
      </c>
      <c r="AB267" s="24">
        <f>IF(AQ267="1",BH267,0)</f>
        <v>0</v>
      </c>
      <c r="AC267" s="24">
        <f>IF(AQ267="1",BI267,0)</f>
        <v>0</v>
      </c>
      <c r="AD267" s="24">
        <f>IF(AQ267="7",BH267,0)</f>
        <v>0</v>
      </c>
      <c r="AE267" s="24">
        <f>IF(AQ267="7",BI267,0)</f>
        <v>0</v>
      </c>
      <c r="AF267" s="24">
        <f>IF(AQ267="2",BH267,0)</f>
        <v>0</v>
      </c>
      <c r="AG267" s="24">
        <f>IF(AQ267="2",BI267,0)</f>
        <v>0</v>
      </c>
      <c r="AH267" s="24">
        <f>IF(AQ267="0",BJ267,0)</f>
        <v>0</v>
      </c>
      <c r="AI267" s="9" t="s">
        <v>405</v>
      </c>
      <c r="AJ267" s="24">
        <f>IF(AN267=0,L267,0)</f>
        <v>0</v>
      </c>
      <c r="AK267" s="24">
        <f>IF(AN267=15,L267,0)</f>
        <v>0</v>
      </c>
      <c r="AL267" s="24">
        <f>IF(AN267=21,L267,0)</f>
        <v>0</v>
      </c>
      <c r="AN267" s="24">
        <v>21</v>
      </c>
      <c r="AO267" s="24">
        <f>I267*0</f>
        <v>0</v>
      </c>
      <c r="AP267" s="24">
        <f>I267*(1-0)</f>
        <v>0</v>
      </c>
      <c r="AQ267" s="30" t="s">
        <v>311</v>
      </c>
      <c r="AV267" s="24">
        <f>AW267+AX267</f>
        <v>0</v>
      </c>
      <c r="AW267" s="24">
        <f>H267*AO267</f>
        <v>0</v>
      </c>
      <c r="AX267" s="24">
        <f>H267*AP267</f>
        <v>0</v>
      </c>
      <c r="AY267" s="30" t="s">
        <v>300</v>
      </c>
      <c r="AZ267" s="30" t="s">
        <v>205</v>
      </c>
      <c r="BA267" s="9" t="s">
        <v>441</v>
      </c>
      <c r="BC267" s="24">
        <f>AW267+AX267</f>
        <v>0</v>
      </c>
      <c r="BD267" s="24">
        <f>I267/(100-BE267)*100</f>
        <v>0</v>
      </c>
      <c r="BE267" s="24">
        <v>0</v>
      </c>
      <c r="BF267" s="24">
        <f>267</f>
        <v>267</v>
      </c>
      <c r="BH267" s="24">
        <f>H267*AO267</f>
        <v>0</v>
      </c>
      <c r="BI267" s="24">
        <f>H267*AP267</f>
        <v>0</v>
      </c>
      <c r="BJ267" s="24">
        <f>H267*I267</f>
        <v>0</v>
      </c>
      <c r="BK267" s="24"/>
      <c r="BL267" s="24"/>
    </row>
    <row r="268" spans="1:64" ht="15" customHeight="1">
      <c r="A268" s="10"/>
      <c r="C268" s="34" t="s">
        <v>609</v>
      </c>
      <c r="F268" s="34" t="s">
        <v>405</v>
      </c>
      <c r="H268" s="3">
        <v>3.1151700000000004</v>
      </c>
      <c r="M268" s="12"/>
    </row>
    <row r="269" spans="1:64" ht="15" customHeight="1">
      <c r="A269" s="19" t="s">
        <v>405</v>
      </c>
      <c r="B269" s="26" t="s">
        <v>9</v>
      </c>
      <c r="C269" s="70" t="s">
        <v>309</v>
      </c>
      <c r="D269" s="70"/>
      <c r="E269" s="70"/>
      <c r="F269" s="70"/>
      <c r="G269" s="11" t="s">
        <v>529</v>
      </c>
      <c r="H269" s="11" t="s">
        <v>529</v>
      </c>
      <c r="I269" s="11" t="s">
        <v>529</v>
      </c>
      <c r="J269" s="31">
        <f>SUM(J270:J274)</f>
        <v>0</v>
      </c>
      <c r="K269" s="31">
        <f>SUM(K270:K274)</f>
        <v>0</v>
      </c>
      <c r="L269" s="31">
        <f>SUM(L270:L274)</f>
        <v>0</v>
      </c>
      <c r="M269" s="35" t="s">
        <v>405</v>
      </c>
      <c r="AI269" s="9" t="s">
        <v>405</v>
      </c>
      <c r="AS269" s="31">
        <f>SUM(AJ270:AJ274)</f>
        <v>0</v>
      </c>
      <c r="AT269" s="31">
        <f>SUM(AK270:AK274)</f>
        <v>0</v>
      </c>
      <c r="AU269" s="31">
        <f>SUM(AL270:AL274)</f>
        <v>0</v>
      </c>
    </row>
    <row r="270" spans="1:64" ht="15" customHeight="1">
      <c r="A270" s="39" t="s">
        <v>526</v>
      </c>
      <c r="B270" s="8" t="s">
        <v>148</v>
      </c>
      <c r="C270" s="55" t="s">
        <v>450</v>
      </c>
      <c r="D270" s="55"/>
      <c r="E270" s="55"/>
      <c r="F270" s="55"/>
      <c r="G270" s="8" t="s">
        <v>143</v>
      </c>
      <c r="H270" s="24">
        <v>3</v>
      </c>
      <c r="I270" s="24">
        <v>0</v>
      </c>
      <c r="J270" s="24">
        <f>H270*AO270</f>
        <v>0</v>
      </c>
      <c r="K270" s="24">
        <f>H270*AP270</f>
        <v>0</v>
      </c>
      <c r="L270" s="24">
        <f>H270*I270</f>
        <v>0</v>
      </c>
      <c r="M270" s="47" t="s">
        <v>399</v>
      </c>
      <c r="Z270" s="24">
        <f>IF(AQ270="5",BJ270,0)</f>
        <v>0</v>
      </c>
      <c r="AB270" s="24">
        <f>IF(AQ270="1",BH270,0)</f>
        <v>0</v>
      </c>
      <c r="AC270" s="24">
        <f>IF(AQ270="1",BI270,0)</f>
        <v>0</v>
      </c>
      <c r="AD270" s="24">
        <f>IF(AQ270="7",BH270,0)</f>
        <v>0</v>
      </c>
      <c r="AE270" s="24">
        <f>IF(AQ270="7",BI270,0)</f>
        <v>0</v>
      </c>
      <c r="AF270" s="24">
        <f>IF(AQ270="2",BH270,0)</f>
        <v>0</v>
      </c>
      <c r="AG270" s="24">
        <f>IF(AQ270="2",BI270,0)</f>
        <v>0</v>
      </c>
      <c r="AH270" s="24">
        <f>IF(AQ270="0",BJ270,0)</f>
        <v>0</v>
      </c>
      <c r="AI270" s="9" t="s">
        <v>405</v>
      </c>
      <c r="AJ270" s="24">
        <f>IF(AN270=0,L270,0)</f>
        <v>0</v>
      </c>
      <c r="AK270" s="24">
        <f>IF(AN270=15,L270,0)</f>
        <v>0</v>
      </c>
      <c r="AL270" s="24">
        <f>IF(AN270=21,L270,0)</f>
        <v>0</v>
      </c>
      <c r="AN270" s="24">
        <v>21</v>
      </c>
      <c r="AO270" s="24">
        <f>I270*0</f>
        <v>0</v>
      </c>
      <c r="AP270" s="24">
        <f>I270*(1-0)</f>
        <v>0</v>
      </c>
      <c r="AQ270" s="30" t="s">
        <v>402</v>
      </c>
      <c r="AV270" s="24">
        <f>AW270+AX270</f>
        <v>0</v>
      </c>
      <c r="AW270" s="24">
        <f>H270*AO270</f>
        <v>0</v>
      </c>
      <c r="AX270" s="24">
        <f>H270*AP270</f>
        <v>0</v>
      </c>
      <c r="AY270" s="30" t="s">
        <v>624</v>
      </c>
      <c r="AZ270" s="30" t="s">
        <v>205</v>
      </c>
      <c r="BA270" s="9" t="s">
        <v>441</v>
      </c>
      <c r="BC270" s="24">
        <f>AW270+AX270</f>
        <v>0</v>
      </c>
      <c r="BD270" s="24">
        <f>I270/(100-BE270)*100</f>
        <v>0</v>
      </c>
      <c r="BE270" s="24">
        <v>0</v>
      </c>
      <c r="BF270" s="24">
        <f>270</f>
        <v>270</v>
      </c>
      <c r="BH270" s="24">
        <f>H270*AO270</f>
        <v>0</v>
      </c>
      <c r="BI270" s="24">
        <f>H270*AP270</f>
        <v>0</v>
      </c>
      <c r="BJ270" s="24">
        <f>H270*I270</f>
        <v>0</v>
      </c>
      <c r="BK270" s="24"/>
      <c r="BL270" s="24"/>
    </row>
    <row r="271" spans="1:64" ht="15" customHeight="1">
      <c r="A271" s="10"/>
      <c r="C271" s="34" t="s">
        <v>178</v>
      </c>
      <c r="F271" s="34" t="s">
        <v>405</v>
      </c>
      <c r="H271" s="3">
        <v>1</v>
      </c>
      <c r="M271" s="12"/>
    </row>
    <row r="272" spans="1:64" ht="15" customHeight="1">
      <c r="A272" s="10"/>
      <c r="C272" s="34" t="s">
        <v>206</v>
      </c>
      <c r="F272" s="34" t="s">
        <v>405</v>
      </c>
      <c r="H272" s="3">
        <v>2</v>
      </c>
      <c r="M272" s="12"/>
    </row>
    <row r="273" spans="1:64" ht="15" customHeight="1">
      <c r="A273" s="39" t="s">
        <v>499</v>
      </c>
      <c r="B273" s="8" t="s">
        <v>102</v>
      </c>
      <c r="C273" s="55" t="s">
        <v>18</v>
      </c>
      <c r="D273" s="55"/>
      <c r="E273" s="55"/>
      <c r="F273" s="55"/>
      <c r="G273" s="8" t="s">
        <v>143</v>
      </c>
      <c r="H273" s="24">
        <v>1</v>
      </c>
      <c r="I273" s="24">
        <v>0</v>
      </c>
      <c r="J273" s="24">
        <f>H273*AO273</f>
        <v>0</v>
      </c>
      <c r="K273" s="24">
        <f>H273*AP273</f>
        <v>0</v>
      </c>
      <c r="L273" s="24">
        <f>H273*I273</f>
        <v>0</v>
      </c>
      <c r="M273" s="47" t="s">
        <v>405</v>
      </c>
      <c r="Z273" s="24">
        <f>IF(AQ273="5",BJ273,0)</f>
        <v>0</v>
      </c>
      <c r="AB273" s="24">
        <f>IF(AQ273="1",BH273,0)</f>
        <v>0</v>
      </c>
      <c r="AC273" s="24">
        <f>IF(AQ273="1",BI273,0)</f>
        <v>0</v>
      </c>
      <c r="AD273" s="24">
        <f>IF(AQ273="7",BH273,0)</f>
        <v>0</v>
      </c>
      <c r="AE273" s="24">
        <f>IF(AQ273="7",BI273,0)</f>
        <v>0</v>
      </c>
      <c r="AF273" s="24">
        <f>IF(AQ273="2",BH273,0)</f>
        <v>0</v>
      </c>
      <c r="AG273" s="24">
        <f>IF(AQ273="2",BI273,0)</f>
        <v>0</v>
      </c>
      <c r="AH273" s="24">
        <f>IF(AQ273="0",BJ273,0)</f>
        <v>0</v>
      </c>
      <c r="AI273" s="9" t="s">
        <v>405</v>
      </c>
      <c r="AJ273" s="24">
        <f>IF(AN273=0,L273,0)</f>
        <v>0</v>
      </c>
      <c r="AK273" s="24">
        <f>IF(AN273=15,L273,0)</f>
        <v>0</v>
      </c>
      <c r="AL273" s="24">
        <f>IF(AN273=21,L273,0)</f>
        <v>0</v>
      </c>
      <c r="AN273" s="24">
        <v>21</v>
      </c>
      <c r="AO273" s="24">
        <f>I273*1</f>
        <v>0</v>
      </c>
      <c r="AP273" s="24">
        <f>I273*(1-1)</f>
        <v>0</v>
      </c>
      <c r="AQ273" s="30" t="s">
        <v>563</v>
      </c>
      <c r="AV273" s="24">
        <f>AW273+AX273</f>
        <v>0</v>
      </c>
      <c r="AW273" s="24">
        <f>H273*AO273</f>
        <v>0</v>
      </c>
      <c r="AX273" s="24">
        <f>H273*AP273</f>
        <v>0</v>
      </c>
      <c r="AY273" s="30" t="s">
        <v>624</v>
      </c>
      <c r="AZ273" s="30" t="s">
        <v>205</v>
      </c>
      <c r="BA273" s="9" t="s">
        <v>441</v>
      </c>
      <c r="BC273" s="24">
        <f>AW273+AX273</f>
        <v>0</v>
      </c>
      <c r="BD273" s="24">
        <f>I273/(100-BE273)*100</f>
        <v>0</v>
      </c>
      <c r="BE273" s="24">
        <v>0</v>
      </c>
      <c r="BF273" s="24">
        <f>273</f>
        <v>273</v>
      </c>
      <c r="BH273" s="24">
        <f>H273*AO273</f>
        <v>0</v>
      </c>
      <c r="BI273" s="24">
        <f>H273*AP273</f>
        <v>0</v>
      </c>
      <c r="BJ273" s="24">
        <f>H273*I273</f>
        <v>0</v>
      </c>
      <c r="BK273" s="24"/>
      <c r="BL273" s="24"/>
    </row>
    <row r="274" spans="1:64" ht="15" customHeight="1">
      <c r="A274" s="39" t="s">
        <v>15</v>
      </c>
      <c r="B274" s="8" t="s">
        <v>390</v>
      </c>
      <c r="C274" s="55" t="s">
        <v>483</v>
      </c>
      <c r="D274" s="55"/>
      <c r="E274" s="55"/>
      <c r="F274" s="55"/>
      <c r="G274" s="8" t="s">
        <v>143</v>
      </c>
      <c r="H274" s="24">
        <v>2</v>
      </c>
      <c r="I274" s="24">
        <v>0</v>
      </c>
      <c r="J274" s="24">
        <f>H274*AO274</f>
        <v>0</v>
      </c>
      <c r="K274" s="24">
        <f>H274*AP274</f>
        <v>0</v>
      </c>
      <c r="L274" s="24">
        <f>H274*I274</f>
        <v>0</v>
      </c>
      <c r="M274" s="47" t="s">
        <v>405</v>
      </c>
      <c r="Z274" s="24">
        <f>IF(AQ274="5",BJ274,0)</f>
        <v>0</v>
      </c>
      <c r="AB274" s="24">
        <f>IF(AQ274="1",BH274,0)</f>
        <v>0</v>
      </c>
      <c r="AC274" s="24">
        <f>IF(AQ274="1",BI274,0)</f>
        <v>0</v>
      </c>
      <c r="AD274" s="24">
        <f>IF(AQ274="7",BH274,0)</f>
        <v>0</v>
      </c>
      <c r="AE274" s="24">
        <f>IF(AQ274="7",BI274,0)</f>
        <v>0</v>
      </c>
      <c r="AF274" s="24">
        <f>IF(AQ274="2",BH274,0)</f>
        <v>0</v>
      </c>
      <c r="AG274" s="24">
        <f>IF(AQ274="2",BI274,0)</f>
        <v>0</v>
      </c>
      <c r="AH274" s="24">
        <f>IF(AQ274="0",BJ274,0)</f>
        <v>0</v>
      </c>
      <c r="AI274" s="9" t="s">
        <v>405</v>
      </c>
      <c r="AJ274" s="24">
        <f>IF(AN274=0,L274,0)</f>
        <v>0</v>
      </c>
      <c r="AK274" s="24">
        <f>IF(AN274=15,L274,0)</f>
        <v>0</v>
      </c>
      <c r="AL274" s="24">
        <f>IF(AN274=21,L274,0)</f>
        <v>0</v>
      </c>
      <c r="AN274" s="24">
        <v>21</v>
      </c>
      <c r="AO274" s="24">
        <f>I274*1</f>
        <v>0</v>
      </c>
      <c r="AP274" s="24">
        <f>I274*(1-1)</f>
        <v>0</v>
      </c>
      <c r="AQ274" s="30" t="s">
        <v>563</v>
      </c>
      <c r="AV274" s="24">
        <f>AW274+AX274</f>
        <v>0</v>
      </c>
      <c r="AW274" s="24">
        <f>H274*AO274</f>
        <v>0</v>
      </c>
      <c r="AX274" s="24">
        <f>H274*AP274</f>
        <v>0</v>
      </c>
      <c r="AY274" s="30" t="s">
        <v>624</v>
      </c>
      <c r="AZ274" s="30" t="s">
        <v>205</v>
      </c>
      <c r="BA274" s="9" t="s">
        <v>441</v>
      </c>
      <c r="BC274" s="24">
        <f>AW274+AX274</f>
        <v>0</v>
      </c>
      <c r="BD274" s="24">
        <f>I274/(100-BE274)*100</f>
        <v>0</v>
      </c>
      <c r="BE274" s="24">
        <v>0</v>
      </c>
      <c r="BF274" s="24">
        <f>274</f>
        <v>274</v>
      </c>
      <c r="BH274" s="24">
        <f>H274*AO274</f>
        <v>0</v>
      </c>
      <c r="BI274" s="24">
        <f>H274*AP274</f>
        <v>0</v>
      </c>
      <c r="BJ274" s="24">
        <f>H274*I274</f>
        <v>0</v>
      </c>
      <c r="BK274" s="24"/>
      <c r="BL274" s="24"/>
    </row>
    <row r="275" spans="1:64" ht="15" customHeight="1">
      <c r="A275" s="19" t="s">
        <v>405</v>
      </c>
      <c r="B275" s="26" t="s">
        <v>337</v>
      </c>
      <c r="C275" s="70" t="s">
        <v>358</v>
      </c>
      <c r="D275" s="70"/>
      <c r="E275" s="70"/>
      <c r="F275" s="70"/>
      <c r="G275" s="11" t="s">
        <v>529</v>
      </c>
      <c r="H275" s="11" t="s">
        <v>529</v>
      </c>
      <c r="I275" s="11" t="s">
        <v>529</v>
      </c>
      <c r="J275" s="31">
        <f>SUM(J276:J276)</f>
        <v>0</v>
      </c>
      <c r="K275" s="31">
        <f>SUM(K276:K276)</f>
        <v>0</v>
      </c>
      <c r="L275" s="31">
        <f>SUM(L276:L276)</f>
        <v>0</v>
      </c>
      <c r="M275" s="35" t="s">
        <v>405</v>
      </c>
      <c r="AI275" s="9" t="s">
        <v>405</v>
      </c>
      <c r="AS275" s="31">
        <f>SUM(AJ276:AJ276)</f>
        <v>0</v>
      </c>
      <c r="AT275" s="31">
        <f>SUM(AK276:AK276)</f>
        <v>0</v>
      </c>
      <c r="AU275" s="31">
        <f>SUM(AL276:AL276)</f>
        <v>0</v>
      </c>
    </row>
    <row r="276" spans="1:64" ht="15" customHeight="1">
      <c r="A276" s="39" t="s">
        <v>221</v>
      </c>
      <c r="B276" s="8" t="s">
        <v>362</v>
      </c>
      <c r="C276" s="55" t="s">
        <v>213</v>
      </c>
      <c r="D276" s="55"/>
      <c r="E276" s="55"/>
      <c r="F276" s="55"/>
      <c r="G276" s="8" t="s">
        <v>547</v>
      </c>
      <c r="H276" s="24">
        <v>1.8134999999999999</v>
      </c>
      <c r="I276" s="24">
        <v>0</v>
      </c>
      <c r="J276" s="24">
        <f>H276*AO276</f>
        <v>0</v>
      </c>
      <c r="K276" s="24">
        <f>H276*AP276</f>
        <v>0</v>
      </c>
      <c r="L276" s="24">
        <f>H276*I276</f>
        <v>0</v>
      </c>
      <c r="M276" s="47" t="s">
        <v>399</v>
      </c>
      <c r="Z276" s="24">
        <f>IF(AQ276="5",BJ276,0)</f>
        <v>0</v>
      </c>
      <c r="AB276" s="24">
        <f>IF(AQ276="1",BH276,0)</f>
        <v>0</v>
      </c>
      <c r="AC276" s="24">
        <f>IF(AQ276="1",BI276,0)</f>
        <v>0</v>
      </c>
      <c r="AD276" s="24">
        <f>IF(AQ276="7",BH276,0)</f>
        <v>0</v>
      </c>
      <c r="AE276" s="24">
        <f>IF(AQ276="7",BI276,0)</f>
        <v>0</v>
      </c>
      <c r="AF276" s="24">
        <f>IF(AQ276="2",BH276,0)</f>
        <v>0</v>
      </c>
      <c r="AG276" s="24">
        <f>IF(AQ276="2",BI276,0)</f>
        <v>0</v>
      </c>
      <c r="AH276" s="24">
        <f>IF(AQ276="0",BJ276,0)</f>
        <v>0</v>
      </c>
      <c r="AI276" s="9" t="s">
        <v>405</v>
      </c>
      <c r="AJ276" s="24">
        <f>IF(AN276=0,L276,0)</f>
        <v>0</v>
      </c>
      <c r="AK276" s="24">
        <f>IF(AN276=15,L276,0)</f>
        <v>0</v>
      </c>
      <c r="AL276" s="24">
        <f>IF(AN276=21,L276,0)</f>
        <v>0</v>
      </c>
      <c r="AN276" s="24">
        <v>21</v>
      </c>
      <c r="AO276" s="24">
        <f>I276*0.777390832192359</f>
        <v>0</v>
      </c>
      <c r="AP276" s="24">
        <f>I276*(1-0.777390832192359)</f>
        <v>0</v>
      </c>
      <c r="AQ276" s="30" t="s">
        <v>402</v>
      </c>
      <c r="AV276" s="24">
        <f>AW276+AX276</f>
        <v>0</v>
      </c>
      <c r="AW276" s="24">
        <f>H276*AO276</f>
        <v>0</v>
      </c>
      <c r="AX276" s="24">
        <f>H276*AP276</f>
        <v>0</v>
      </c>
      <c r="AY276" s="30" t="s">
        <v>504</v>
      </c>
      <c r="AZ276" s="30" t="s">
        <v>205</v>
      </c>
      <c r="BA276" s="9" t="s">
        <v>441</v>
      </c>
      <c r="BC276" s="24">
        <f>AW276+AX276</f>
        <v>0</v>
      </c>
      <c r="BD276" s="24">
        <f>I276/(100-BE276)*100</f>
        <v>0</v>
      </c>
      <c r="BE276" s="24">
        <v>0</v>
      </c>
      <c r="BF276" s="24">
        <f>276</f>
        <v>276</v>
      </c>
      <c r="BH276" s="24">
        <f>H276*AO276</f>
        <v>0</v>
      </c>
      <c r="BI276" s="24">
        <f>H276*AP276</f>
        <v>0</v>
      </c>
      <c r="BJ276" s="24">
        <f>H276*I276</f>
        <v>0</v>
      </c>
      <c r="BK276" s="24"/>
      <c r="BL276" s="24"/>
    </row>
    <row r="277" spans="1:64" ht="15" customHeight="1">
      <c r="A277" s="10"/>
      <c r="C277" s="34" t="s">
        <v>564</v>
      </c>
      <c r="F277" s="34" t="s">
        <v>405</v>
      </c>
      <c r="H277" s="3">
        <v>1.8135000000000001</v>
      </c>
      <c r="M277" s="12"/>
    </row>
    <row r="278" spans="1:64" ht="15" customHeight="1">
      <c r="A278" s="19" t="s">
        <v>405</v>
      </c>
      <c r="B278" s="26" t="s">
        <v>187</v>
      </c>
      <c r="C278" s="70" t="s">
        <v>246</v>
      </c>
      <c r="D278" s="70"/>
      <c r="E278" s="70"/>
      <c r="F278" s="70"/>
      <c r="G278" s="11" t="s">
        <v>529</v>
      </c>
      <c r="H278" s="11" t="s">
        <v>529</v>
      </c>
      <c r="I278" s="11" t="s">
        <v>529</v>
      </c>
      <c r="J278" s="31">
        <f>SUM(J279:J285)</f>
        <v>0</v>
      </c>
      <c r="K278" s="31">
        <f>SUM(K279:K285)</f>
        <v>0</v>
      </c>
      <c r="L278" s="31">
        <f>SUM(L279:L285)</f>
        <v>0</v>
      </c>
      <c r="M278" s="35" t="s">
        <v>405</v>
      </c>
      <c r="AI278" s="9" t="s">
        <v>405</v>
      </c>
      <c r="AS278" s="31">
        <f>SUM(AJ279:AJ285)</f>
        <v>0</v>
      </c>
      <c r="AT278" s="31">
        <f>SUM(AK279:AK285)</f>
        <v>0</v>
      </c>
      <c r="AU278" s="31">
        <f>SUM(AL279:AL285)</f>
        <v>0</v>
      </c>
    </row>
    <row r="279" spans="1:64" ht="15" customHeight="1">
      <c r="A279" s="39" t="s">
        <v>78</v>
      </c>
      <c r="B279" s="8" t="s">
        <v>150</v>
      </c>
      <c r="C279" s="55" t="s">
        <v>116</v>
      </c>
      <c r="D279" s="55"/>
      <c r="E279" s="55"/>
      <c r="F279" s="55"/>
      <c r="G279" s="8" t="s">
        <v>269</v>
      </c>
      <c r="H279" s="24">
        <v>2.4712200000000002</v>
      </c>
      <c r="I279" s="24">
        <v>0</v>
      </c>
      <c r="J279" s="24">
        <f>H279*AO279</f>
        <v>0</v>
      </c>
      <c r="K279" s="24">
        <f>H279*AP279</f>
        <v>0</v>
      </c>
      <c r="L279" s="24">
        <f>H279*I279</f>
        <v>0</v>
      </c>
      <c r="M279" s="47" t="s">
        <v>399</v>
      </c>
      <c r="Z279" s="24">
        <f>IF(AQ279="5",BJ279,0)</f>
        <v>0</v>
      </c>
      <c r="AB279" s="24">
        <f>IF(AQ279="1",BH279,0)</f>
        <v>0</v>
      </c>
      <c r="AC279" s="24">
        <f>IF(AQ279="1",BI279,0)</f>
        <v>0</v>
      </c>
      <c r="AD279" s="24">
        <f>IF(AQ279="7",BH279,0)</f>
        <v>0</v>
      </c>
      <c r="AE279" s="24">
        <f>IF(AQ279="7",BI279,0)</f>
        <v>0</v>
      </c>
      <c r="AF279" s="24">
        <f>IF(AQ279="2",BH279,0)</f>
        <v>0</v>
      </c>
      <c r="AG279" s="24">
        <f>IF(AQ279="2",BI279,0)</f>
        <v>0</v>
      </c>
      <c r="AH279" s="24">
        <f>IF(AQ279="0",BJ279,0)</f>
        <v>0</v>
      </c>
      <c r="AI279" s="9" t="s">
        <v>405</v>
      </c>
      <c r="AJ279" s="24">
        <f>IF(AN279=0,L279,0)</f>
        <v>0</v>
      </c>
      <c r="AK279" s="24">
        <f>IF(AN279=15,L279,0)</f>
        <v>0</v>
      </c>
      <c r="AL279" s="24">
        <f>IF(AN279=21,L279,0)</f>
        <v>0</v>
      </c>
      <c r="AN279" s="24">
        <v>21</v>
      </c>
      <c r="AO279" s="24">
        <f>I279*0</f>
        <v>0</v>
      </c>
      <c r="AP279" s="24">
        <f>I279*(1-0)</f>
        <v>0</v>
      </c>
      <c r="AQ279" s="30" t="s">
        <v>311</v>
      </c>
      <c r="AV279" s="24">
        <f>AW279+AX279</f>
        <v>0</v>
      </c>
      <c r="AW279" s="24">
        <f>H279*AO279</f>
        <v>0</v>
      </c>
      <c r="AX279" s="24">
        <f>H279*AP279</f>
        <v>0</v>
      </c>
      <c r="AY279" s="30" t="s">
        <v>238</v>
      </c>
      <c r="AZ279" s="30" t="s">
        <v>205</v>
      </c>
      <c r="BA279" s="9" t="s">
        <v>441</v>
      </c>
      <c r="BC279" s="24">
        <f>AW279+AX279</f>
        <v>0</v>
      </c>
      <c r="BD279" s="24">
        <f>I279/(100-BE279)*100</f>
        <v>0</v>
      </c>
      <c r="BE279" s="24">
        <v>0</v>
      </c>
      <c r="BF279" s="24">
        <f>279</f>
        <v>279</v>
      </c>
      <c r="BH279" s="24">
        <f>H279*AO279</f>
        <v>0</v>
      </c>
      <c r="BI279" s="24">
        <f>H279*AP279</f>
        <v>0</v>
      </c>
      <c r="BJ279" s="24">
        <f>H279*I279</f>
        <v>0</v>
      </c>
      <c r="BK279" s="24"/>
      <c r="BL279" s="24"/>
    </row>
    <row r="280" spans="1:64" ht="15" customHeight="1">
      <c r="A280" s="10"/>
      <c r="C280" s="34" t="s">
        <v>236</v>
      </c>
      <c r="F280" s="34" t="s">
        <v>405</v>
      </c>
      <c r="H280" s="3">
        <v>2.4712200000000002</v>
      </c>
      <c r="M280" s="12"/>
    </row>
    <row r="281" spans="1:64" ht="15" customHeight="1">
      <c r="A281" s="39" t="s">
        <v>623</v>
      </c>
      <c r="B281" s="8" t="s">
        <v>417</v>
      </c>
      <c r="C281" s="55" t="s">
        <v>432</v>
      </c>
      <c r="D281" s="55"/>
      <c r="E281" s="55"/>
      <c r="F281" s="55"/>
      <c r="G281" s="8" t="s">
        <v>269</v>
      </c>
      <c r="H281" s="24">
        <v>2.4712200000000002</v>
      </c>
      <c r="I281" s="24">
        <v>0</v>
      </c>
      <c r="J281" s="24">
        <f>H281*AO281</f>
        <v>0</v>
      </c>
      <c r="K281" s="24">
        <f>H281*AP281</f>
        <v>0</v>
      </c>
      <c r="L281" s="24">
        <f>H281*I281</f>
        <v>0</v>
      </c>
      <c r="M281" s="47" t="s">
        <v>399</v>
      </c>
      <c r="Z281" s="24">
        <f>IF(AQ281="5",BJ281,0)</f>
        <v>0</v>
      </c>
      <c r="AB281" s="24">
        <f>IF(AQ281="1",BH281,0)</f>
        <v>0</v>
      </c>
      <c r="AC281" s="24">
        <f>IF(AQ281="1",BI281,0)</f>
        <v>0</v>
      </c>
      <c r="AD281" s="24">
        <f>IF(AQ281="7",BH281,0)</f>
        <v>0</v>
      </c>
      <c r="AE281" s="24">
        <f>IF(AQ281="7",BI281,0)</f>
        <v>0</v>
      </c>
      <c r="AF281" s="24">
        <f>IF(AQ281="2",BH281,0)</f>
        <v>0</v>
      </c>
      <c r="AG281" s="24">
        <f>IF(AQ281="2",BI281,0)</f>
        <v>0</v>
      </c>
      <c r="AH281" s="24">
        <f>IF(AQ281="0",BJ281,0)</f>
        <v>0</v>
      </c>
      <c r="AI281" s="9" t="s">
        <v>405</v>
      </c>
      <c r="AJ281" s="24">
        <f>IF(AN281=0,L281,0)</f>
        <v>0</v>
      </c>
      <c r="AK281" s="24">
        <f>IF(AN281=15,L281,0)</f>
        <v>0</v>
      </c>
      <c r="AL281" s="24">
        <f>IF(AN281=21,L281,0)</f>
        <v>0</v>
      </c>
      <c r="AN281" s="24">
        <v>21</v>
      </c>
      <c r="AO281" s="24">
        <f>I281*0</f>
        <v>0</v>
      </c>
      <c r="AP281" s="24">
        <f>I281*(1-0)</f>
        <v>0</v>
      </c>
      <c r="AQ281" s="30" t="s">
        <v>311</v>
      </c>
      <c r="AV281" s="24">
        <f>AW281+AX281</f>
        <v>0</v>
      </c>
      <c r="AW281" s="24">
        <f>H281*AO281</f>
        <v>0</v>
      </c>
      <c r="AX281" s="24">
        <f>H281*AP281</f>
        <v>0</v>
      </c>
      <c r="AY281" s="30" t="s">
        <v>238</v>
      </c>
      <c r="AZ281" s="30" t="s">
        <v>205</v>
      </c>
      <c r="BA281" s="9" t="s">
        <v>441</v>
      </c>
      <c r="BC281" s="24">
        <f>AW281+AX281</f>
        <v>0</v>
      </c>
      <c r="BD281" s="24">
        <f>I281/(100-BE281)*100</f>
        <v>0</v>
      </c>
      <c r="BE281" s="24">
        <v>0</v>
      </c>
      <c r="BF281" s="24">
        <f>281</f>
        <v>281</v>
      </c>
      <c r="BH281" s="24">
        <f>H281*AO281</f>
        <v>0</v>
      </c>
      <c r="BI281" s="24">
        <f>H281*AP281</f>
        <v>0</v>
      </c>
      <c r="BJ281" s="24">
        <f>H281*I281</f>
        <v>0</v>
      </c>
      <c r="BK281" s="24"/>
      <c r="BL281" s="24"/>
    </row>
    <row r="282" spans="1:64" ht="15" customHeight="1">
      <c r="A282" s="10"/>
      <c r="C282" s="34" t="s">
        <v>236</v>
      </c>
      <c r="F282" s="34" t="s">
        <v>405</v>
      </c>
      <c r="H282" s="3">
        <v>2.4712200000000002</v>
      </c>
      <c r="M282" s="12"/>
    </row>
    <row r="283" spans="1:64" ht="15" customHeight="1">
      <c r="A283" s="39" t="s">
        <v>277</v>
      </c>
      <c r="B283" s="8" t="s">
        <v>382</v>
      </c>
      <c r="C283" s="55" t="s">
        <v>255</v>
      </c>
      <c r="D283" s="55"/>
      <c r="E283" s="55"/>
      <c r="F283" s="55"/>
      <c r="G283" s="8" t="s">
        <v>269</v>
      </c>
      <c r="H283" s="24">
        <v>46.953180000000003</v>
      </c>
      <c r="I283" s="24">
        <v>0</v>
      </c>
      <c r="J283" s="24">
        <f>H283*AO283</f>
        <v>0</v>
      </c>
      <c r="K283" s="24">
        <f>H283*AP283</f>
        <v>0</v>
      </c>
      <c r="L283" s="24">
        <f>H283*I283</f>
        <v>0</v>
      </c>
      <c r="M283" s="47" t="s">
        <v>399</v>
      </c>
      <c r="Z283" s="24">
        <f>IF(AQ283="5",BJ283,0)</f>
        <v>0</v>
      </c>
      <c r="AB283" s="24">
        <f>IF(AQ283="1",BH283,0)</f>
        <v>0</v>
      </c>
      <c r="AC283" s="24">
        <f>IF(AQ283="1",BI283,0)</f>
        <v>0</v>
      </c>
      <c r="AD283" s="24">
        <f>IF(AQ283="7",BH283,0)</f>
        <v>0</v>
      </c>
      <c r="AE283" s="24">
        <f>IF(AQ283="7",BI283,0)</f>
        <v>0</v>
      </c>
      <c r="AF283" s="24">
        <f>IF(AQ283="2",BH283,0)</f>
        <v>0</v>
      </c>
      <c r="AG283" s="24">
        <f>IF(AQ283="2",BI283,0)</f>
        <v>0</v>
      </c>
      <c r="AH283" s="24">
        <f>IF(AQ283="0",BJ283,0)</f>
        <v>0</v>
      </c>
      <c r="AI283" s="9" t="s">
        <v>405</v>
      </c>
      <c r="AJ283" s="24">
        <f>IF(AN283=0,L283,0)</f>
        <v>0</v>
      </c>
      <c r="AK283" s="24">
        <f>IF(AN283=15,L283,0)</f>
        <v>0</v>
      </c>
      <c r="AL283" s="24">
        <f>IF(AN283=21,L283,0)</f>
        <v>0</v>
      </c>
      <c r="AN283" s="24">
        <v>21</v>
      </c>
      <c r="AO283" s="24">
        <f>I283*0</f>
        <v>0</v>
      </c>
      <c r="AP283" s="24">
        <f>I283*(1-0)</f>
        <v>0</v>
      </c>
      <c r="AQ283" s="30" t="s">
        <v>311</v>
      </c>
      <c r="AV283" s="24">
        <f>AW283+AX283</f>
        <v>0</v>
      </c>
      <c r="AW283" s="24">
        <f>H283*AO283</f>
        <v>0</v>
      </c>
      <c r="AX283" s="24">
        <f>H283*AP283</f>
        <v>0</v>
      </c>
      <c r="AY283" s="30" t="s">
        <v>238</v>
      </c>
      <c r="AZ283" s="30" t="s">
        <v>205</v>
      </c>
      <c r="BA283" s="9" t="s">
        <v>441</v>
      </c>
      <c r="BC283" s="24">
        <f>AW283+AX283</f>
        <v>0</v>
      </c>
      <c r="BD283" s="24">
        <f>I283/(100-BE283)*100</f>
        <v>0</v>
      </c>
      <c r="BE283" s="24">
        <v>0</v>
      </c>
      <c r="BF283" s="24">
        <f>283</f>
        <v>283</v>
      </c>
      <c r="BH283" s="24">
        <f>H283*AO283</f>
        <v>0</v>
      </c>
      <c r="BI283" s="24">
        <f>H283*AP283</f>
        <v>0</v>
      </c>
      <c r="BJ283" s="24">
        <f>H283*I283</f>
        <v>0</v>
      </c>
      <c r="BK283" s="24"/>
      <c r="BL283" s="24"/>
    </row>
    <row r="284" spans="1:64" ht="15" customHeight="1">
      <c r="A284" s="10"/>
      <c r="C284" s="34" t="s">
        <v>439</v>
      </c>
      <c r="F284" s="34" t="s">
        <v>405</v>
      </c>
      <c r="H284" s="3">
        <v>46.953180000000003</v>
      </c>
      <c r="M284" s="12"/>
    </row>
    <row r="285" spans="1:64" ht="15" customHeight="1">
      <c r="A285" s="39" t="s">
        <v>471</v>
      </c>
      <c r="B285" s="8" t="s">
        <v>48</v>
      </c>
      <c r="C285" s="55" t="s">
        <v>306</v>
      </c>
      <c r="D285" s="55"/>
      <c r="E285" s="55"/>
      <c r="F285" s="55"/>
      <c r="G285" s="8" t="s">
        <v>269</v>
      </c>
      <c r="H285" s="24">
        <v>2.4712200000000002</v>
      </c>
      <c r="I285" s="24">
        <v>0</v>
      </c>
      <c r="J285" s="24">
        <f>H285*AO285</f>
        <v>0</v>
      </c>
      <c r="K285" s="24">
        <f>H285*AP285</f>
        <v>0</v>
      </c>
      <c r="L285" s="24">
        <f>H285*I285</f>
        <v>0</v>
      </c>
      <c r="M285" s="47" t="s">
        <v>399</v>
      </c>
      <c r="Z285" s="24">
        <f>IF(AQ285="5",BJ285,0)</f>
        <v>0</v>
      </c>
      <c r="AB285" s="24">
        <f>IF(AQ285="1",BH285,0)</f>
        <v>0</v>
      </c>
      <c r="AC285" s="24">
        <f>IF(AQ285="1",BI285,0)</f>
        <v>0</v>
      </c>
      <c r="AD285" s="24">
        <f>IF(AQ285="7",BH285,0)</f>
        <v>0</v>
      </c>
      <c r="AE285" s="24">
        <f>IF(AQ285="7",BI285,0)</f>
        <v>0</v>
      </c>
      <c r="AF285" s="24">
        <f>IF(AQ285="2",BH285,0)</f>
        <v>0</v>
      </c>
      <c r="AG285" s="24">
        <f>IF(AQ285="2",BI285,0)</f>
        <v>0</v>
      </c>
      <c r="AH285" s="24">
        <f>IF(AQ285="0",BJ285,0)</f>
        <v>0</v>
      </c>
      <c r="AI285" s="9" t="s">
        <v>405</v>
      </c>
      <c r="AJ285" s="24">
        <f>IF(AN285=0,L285,0)</f>
        <v>0</v>
      </c>
      <c r="AK285" s="24">
        <f>IF(AN285=15,L285,0)</f>
        <v>0</v>
      </c>
      <c r="AL285" s="24">
        <f>IF(AN285=21,L285,0)</f>
        <v>0</v>
      </c>
      <c r="AN285" s="24">
        <v>21</v>
      </c>
      <c r="AO285" s="24">
        <f>I285*0</f>
        <v>0</v>
      </c>
      <c r="AP285" s="24">
        <f>I285*(1-0)</f>
        <v>0</v>
      </c>
      <c r="AQ285" s="30" t="s">
        <v>311</v>
      </c>
      <c r="AV285" s="24">
        <f>AW285+AX285</f>
        <v>0</v>
      </c>
      <c r="AW285" s="24">
        <f>H285*AO285</f>
        <v>0</v>
      </c>
      <c r="AX285" s="24">
        <f>H285*AP285</f>
        <v>0</v>
      </c>
      <c r="AY285" s="30" t="s">
        <v>238</v>
      </c>
      <c r="AZ285" s="30" t="s">
        <v>205</v>
      </c>
      <c r="BA285" s="9" t="s">
        <v>441</v>
      </c>
      <c r="BC285" s="24">
        <f>AW285+AX285</f>
        <v>0</v>
      </c>
      <c r="BD285" s="24">
        <f>I285/(100-BE285)*100</f>
        <v>0</v>
      </c>
      <c r="BE285" s="24">
        <v>0</v>
      </c>
      <c r="BF285" s="24">
        <f>285</f>
        <v>285</v>
      </c>
      <c r="BH285" s="24">
        <f>H285*AO285</f>
        <v>0</v>
      </c>
      <c r="BI285" s="24">
        <f>H285*AP285</f>
        <v>0</v>
      </c>
      <c r="BJ285" s="24">
        <f>H285*I285</f>
        <v>0</v>
      </c>
      <c r="BK285" s="24"/>
      <c r="BL285" s="24"/>
    </row>
    <row r="286" spans="1:64" ht="15" customHeight="1">
      <c r="A286" s="10"/>
      <c r="C286" s="34" t="s">
        <v>236</v>
      </c>
      <c r="F286" s="34" t="s">
        <v>405</v>
      </c>
      <c r="H286" s="3">
        <v>2.4712200000000002</v>
      </c>
      <c r="M286" s="12"/>
    </row>
    <row r="287" spans="1:64" ht="15" customHeight="1">
      <c r="A287" s="19" t="s">
        <v>405</v>
      </c>
      <c r="B287" s="26" t="s">
        <v>123</v>
      </c>
      <c r="C287" s="70" t="s">
        <v>287</v>
      </c>
      <c r="D287" s="70"/>
      <c r="E287" s="70"/>
      <c r="F287" s="70"/>
      <c r="G287" s="11" t="s">
        <v>529</v>
      </c>
      <c r="H287" s="11" t="s">
        <v>529</v>
      </c>
      <c r="I287" s="11" t="s">
        <v>529</v>
      </c>
      <c r="J287" s="31">
        <f>SUM(J288:J291)</f>
        <v>0</v>
      </c>
      <c r="K287" s="31">
        <f>SUM(K288:K291)</f>
        <v>0</v>
      </c>
      <c r="L287" s="31">
        <f>SUM(L288:L291)</f>
        <v>0</v>
      </c>
      <c r="M287" s="35" t="s">
        <v>405</v>
      </c>
      <c r="AI287" s="9" t="s">
        <v>405</v>
      </c>
      <c r="AS287" s="31">
        <f>SUM(AJ288:AJ291)</f>
        <v>0</v>
      </c>
      <c r="AT287" s="31">
        <f>SUM(AK288:AK291)</f>
        <v>0</v>
      </c>
      <c r="AU287" s="31">
        <f>SUM(AL288:AL291)</f>
        <v>0</v>
      </c>
    </row>
    <row r="288" spans="1:64" ht="15" customHeight="1">
      <c r="A288" s="39" t="s">
        <v>268</v>
      </c>
      <c r="B288" s="8" t="s">
        <v>303</v>
      </c>
      <c r="C288" s="55" t="s">
        <v>58</v>
      </c>
      <c r="D288" s="55"/>
      <c r="E288" s="55"/>
      <c r="F288" s="55"/>
      <c r="G288" s="8" t="s">
        <v>502</v>
      </c>
      <c r="H288" s="24">
        <v>3.25</v>
      </c>
      <c r="I288" s="24">
        <v>0</v>
      </c>
      <c r="J288" s="24">
        <f>H288*AO288</f>
        <v>0</v>
      </c>
      <c r="K288" s="24">
        <f>H288*AP288</f>
        <v>0</v>
      </c>
      <c r="L288" s="24">
        <f>H288*I288</f>
        <v>0</v>
      </c>
      <c r="M288" s="47" t="s">
        <v>405</v>
      </c>
      <c r="Z288" s="24">
        <f>IF(AQ288="5",BJ288,0)</f>
        <v>0</v>
      </c>
      <c r="AB288" s="24">
        <f>IF(AQ288="1",BH288,0)</f>
        <v>0</v>
      </c>
      <c r="AC288" s="24">
        <f>IF(AQ288="1",BI288,0)</f>
        <v>0</v>
      </c>
      <c r="AD288" s="24">
        <f>IF(AQ288="7",BH288,0)</f>
        <v>0</v>
      </c>
      <c r="AE288" s="24">
        <f>IF(AQ288="7",BI288,0)</f>
        <v>0</v>
      </c>
      <c r="AF288" s="24">
        <f>IF(AQ288="2",BH288,0)</f>
        <v>0</v>
      </c>
      <c r="AG288" s="24">
        <f>IF(AQ288="2",BI288,0)</f>
        <v>0</v>
      </c>
      <c r="AH288" s="24">
        <f>IF(AQ288="0",BJ288,0)</f>
        <v>0</v>
      </c>
      <c r="AI288" s="9" t="s">
        <v>405</v>
      </c>
      <c r="AJ288" s="24">
        <f>IF(AN288=0,L288,0)</f>
        <v>0</v>
      </c>
      <c r="AK288" s="24">
        <f>IF(AN288=15,L288,0)</f>
        <v>0</v>
      </c>
      <c r="AL288" s="24">
        <f>IF(AN288=21,L288,0)</f>
        <v>0</v>
      </c>
      <c r="AN288" s="24">
        <v>21</v>
      </c>
      <c r="AO288" s="24">
        <f>I288*0</f>
        <v>0</v>
      </c>
      <c r="AP288" s="24">
        <f>I288*(1-0)</f>
        <v>0</v>
      </c>
      <c r="AQ288" s="30" t="s">
        <v>563</v>
      </c>
      <c r="AV288" s="24">
        <f>AW288+AX288</f>
        <v>0</v>
      </c>
      <c r="AW288" s="24">
        <f>H288*AO288</f>
        <v>0</v>
      </c>
      <c r="AX288" s="24">
        <f>H288*AP288</f>
        <v>0</v>
      </c>
      <c r="AY288" s="30" t="s">
        <v>89</v>
      </c>
      <c r="AZ288" s="30" t="s">
        <v>507</v>
      </c>
      <c r="BA288" s="9" t="s">
        <v>441</v>
      </c>
      <c r="BC288" s="24">
        <f>AW288+AX288</f>
        <v>0</v>
      </c>
      <c r="BD288" s="24">
        <f>I288/(100-BE288)*100</f>
        <v>0</v>
      </c>
      <c r="BE288" s="24">
        <v>0</v>
      </c>
      <c r="BF288" s="24">
        <f>288</f>
        <v>288</v>
      </c>
      <c r="BH288" s="24">
        <f>H288*AO288</f>
        <v>0</v>
      </c>
      <c r="BI288" s="24">
        <f>H288*AP288</f>
        <v>0</v>
      </c>
      <c r="BJ288" s="24">
        <f>H288*I288</f>
        <v>0</v>
      </c>
      <c r="BK288" s="24"/>
      <c r="BL288" s="24"/>
    </row>
    <row r="289" spans="1:64" ht="15" customHeight="1">
      <c r="A289" s="39" t="s">
        <v>370</v>
      </c>
      <c r="B289" s="8" t="s">
        <v>80</v>
      </c>
      <c r="C289" s="55" t="s">
        <v>545</v>
      </c>
      <c r="D289" s="55"/>
      <c r="E289" s="55"/>
      <c r="F289" s="55"/>
      <c r="G289" s="8" t="s">
        <v>502</v>
      </c>
      <c r="H289" s="24">
        <v>2.35</v>
      </c>
      <c r="I289" s="24">
        <v>0</v>
      </c>
      <c r="J289" s="24">
        <f>H289*AO289</f>
        <v>0</v>
      </c>
      <c r="K289" s="24">
        <f>H289*AP289</f>
        <v>0</v>
      </c>
      <c r="L289" s="24">
        <f>H289*I289</f>
        <v>0</v>
      </c>
      <c r="M289" s="47" t="s">
        <v>405</v>
      </c>
      <c r="Z289" s="24">
        <f>IF(AQ289="5",BJ289,0)</f>
        <v>0</v>
      </c>
      <c r="AB289" s="24">
        <f>IF(AQ289="1",BH289,0)</f>
        <v>0</v>
      </c>
      <c r="AC289" s="24">
        <f>IF(AQ289="1",BI289,0)</f>
        <v>0</v>
      </c>
      <c r="AD289" s="24">
        <f>IF(AQ289="7",BH289,0)</f>
        <v>0</v>
      </c>
      <c r="AE289" s="24">
        <f>IF(AQ289="7",BI289,0)</f>
        <v>0</v>
      </c>
      <c r="AF289" s="24">
        <f>IF(AQ289="2",BH289,0)</f>
        <v>0</v>
      </c>
      <c r="AG289" s="24">
        <f>IF(AQ289="2",BI289,0)</f>
        <v>0</v>
      </c>
      <c r="AH289" s="24">
        <f>IF(AQ289="0",BJ289,0)</f>
        <v>0</v>
      </c>
      <c r="AI289" s="9" t="s">
        <v>405</v>
      </c>
      <c r="AJ289" s="24">
        <f>IF(AN289=0,L289,0)</f>
        <v>0</v>
      </c>
      <c r="AK289" s="24">
        <f>IF(AN289=15,L289,0)</f>
        <v>0</v>
      </c>
      <c r="AL289" s="24">
        <f>IF(AN289=21,L289,0)</f>
        <v>0</v>
      </c>
      <c r="AN289" s="24">
        <v>21</v>
      </c>
      <c r="AO289" s="24">
        <f>I289*0</f>
        <v>0</v>
      </c>
      <c r="AP289" s="24">
        <f>I289*(1-0)</f>
        <v>0</v>
      </c>
      <c r="AQ289" s="30" t="s">
        <v>563</v>
      </c>
      <c r="AV289" s="24">
        <f>AW289+AX289</f>
        <v>0</v>
      </c>
      <c r="AW289" s="24">
        <f>H289*AO289</f>
        <v>0</v>
      </c>
      <c r="AX289" s="24">
        <f>H289*AP289</f>
        <v>0</v>
      </c>
      <c r="AY289" s="30" t="s">
        <v>89</v>
      </c>
      <c r="AZ289" s="30" t="s">
        <v>507</v>
      </c>
      <c r="BA289" s="9" t="s">
        <v>441</v>
      </c>
      <c r="BC289" s="24">
        <f>AW289+AX289</f>
        <v>0</v>
      </c>
      <c r="BD289" s="24">
        <f>I289/(100-BE289)*100</f>
        <v>0</v>
      </c>
      <c r="BE289" s="24">
        <v>0</v>
      </c>
      <c r="BF289" s="24">
        <f>289</f>
        <v>289</v>
      </c>
      <c r="BH289" s="24">
        <f>H289*AO289</f>
        <v>0</v>
      </c>
      <c r="BI289" s="24">
        <f>H289*AP289</f>
        <v>0</v>
      </c>
      <c r="BJ289" s="24">
        <f>H289*I289</f>
        <v>0</v>
      </c>
      <c r="BK289" s="24"/>
      <c r="BL289" s="24"/>
    </row>
    <row r="290" spans="1:64" ht="15" customHeight="1">
      <c r="A290" s="39" t="s">
        <v>616</v>
      </c>
      <c r="B290" s="8" t="s">
        <v>253</v>
      </c>
      <c r="C290" s="55" t="s">
        <v>310</v>
      </c>
      <c r="D290" s="55"/>
      <c r="E290" s="55"/>
      <c r="F290" s="55"/>
      <c r="G290" s="8" t="s">
        <v>502</v>
      </c>
      <c r="H290" s="24">
        <v>1.6</v>
      </c>
      <c r="I290" s="24">
        <v>0</v>
      </c>
      <c r="J290" s="24">
        <f>H290*AO290</f>
        <v>0</v>
      </c>
      <c r="K290" s="24">
        <f>H290*AP290</f>
        <v>0</v>
      </c>
      <c r="L290" s="24">
        <f>H290*I290</f>
        <v>0</v>
      </c>
      <c r="M290" s="47" t="s">
        <v>405</v>
      </c>
      <c r="Z290" s="24">
        <f>IF(AQ290="5",BJ290,0)</f>
        <v>0</v>
      </c>
      <c r="AB290" s="24">
        <f>IF(AQ290="1",BH290,0)</f>
        <v>0</v>
      </c>
      <c r="AC290" s="24">
        <f>IF(AQ290="1",BI290,0)</f>
        <v>0</v>
      </c>
      <c r="AD290" s="24">
        <f>IF(AQ290="7",BH290,0)</f>
        <v>0</v>
      </c>
      <c r="AE290" s="24">
        <f>IF(AQ290="7",BI290,0)</f>
        <v>0</v>
      </c>
      <c r="AF290" s="24">
        <f>IF(AQ290="2",BH290,0)</f>
        <v>0</v>
      </c>
      <c r="AG290" s="24">
        <f>IF(AQ290="2",BI290,0)</f>
        <v>0</v>
      </c>
      <c r="AH290" s="24">
        <f>IF(AQ290="0",BJ290,0)</f>
        <v>0</v>
      </c>
      <c r="AI290" s="9" t="s">
        <v>405</v>
      </c>
      <c r="AJ290" s="24">
        <f>IF(AN290=0,L290,0)</f>
        <v>0</v>
      </c>
      <c r="AK290" s="24">
        <f>IF(AN290=15,L290,0)</f>
        <v>0</v>
      </c>
      <c r="AL290" s="24">
        <f>IF(AN290=21,L290,0)</f>
        <v>0</v>
      </c>
      <c r="AN290" s="24">
        <v>21</v>
      </c>
      <c r="AO290" s="24">
        <f>I290*0</f>
        <v>0</v>
      </c>
      <c r="AP290" s="24">
        <f>I290*(1-0)</f>
        <v>0</v>
      </c>
      <c r="AQ290" s="30" t="s">
        <v>563</v>
      </c>
      <c r="AV290" s="24">
        <f>AW290+AX290</f>
        <v>0</v>
      </c>
      <c r="AW290" s="24">
        <f>H290*AO290</f>
        <v>0</v>
      </c>
      <c r="AX290" s="24">
        <f>H290*AP290</f>
        <v>0</v>
      </c>
      <c r="AY290" s="30" t="s">
        <v>89</v>
      </c>
      <c r="AZ290" s="30" t="s">
        <v>507</v>
      </c>
      <c r="BA290" s="9" t="s">
        <v>441</v>
      </c>
      <c r="BC290" s="24">
        <f>AW290+AX290</f>
        <v>0</v>
      </c>
      <c r="BD290" s="24">
        <f>I290/(100-BE290)*100</f>
        <v>0</v>
      </c>
      <c r="BE290" s="24">
        <v>0</v>
      </c>
      <c r="BF290" s="24">
        <f>290</f>
        <v>290</v>
      </c>
      <c r="BH290" s="24">
        <f>H290*AO290</f>
        <v>0</v>
      </c>
      <c r="BI290" s="24">
        <f>H290*AP290</f>
        <v>0</v>
      </c>
      <c r="BJ290" s="24">
        <f>H290*I290</f>
        <v>0</v>
      </c>
      <c r="BK290" s="24"/>
      <c r="BL290" s="24"/>
    </row>
    <row r="291" spans="1:64" ht="15" customHeight="1">
      <c r="A291" s="49" t="s">
        <v>411</v>
      </c>
      <c r="B291" s="29" t="s">
        <v>297</v>
      </c>
      <c r="C291" s="71" t="s">
        <v>377</v>
      </c>
      <c r="D291" s="71"/>
      <c r="E291" s="71"/>
      <c r="F291" s="71"/>
      <c r="G291" s="29" t="s">
        <v>502</v>
      </c>
      <c r="H291" s="21">
        <v>1.5</v>
      </c>
      <c r="I291" s="21">
        <v>0</v>
      </c>
      <c r="J291" s="21">
        <f>H291*AO291</f>
        <v>0</v>
      </c>
      <c r="K291" s="21">
        <f>H291*AP291</f>
        <v>0</v>
      </c>
      <c r="L291" s="21">
        <f>H291*I291</f>
        <v>0</v>
      </c>
      <c r="M291" s="41" t="s">
        <v>405</v>
      </c>
      <c r="Z291" s="24">
        <f>IF(AQ291="5",BJ291,0)</f>
        <v>0</v>
      </c>
      <c r="AB291" s="24">
        <f>IF(AQ291="1",BH291,0)</f>
        <v>0</v>
      </c>
      <c r="AC291" s="24">
        <f>IF(AQ291="1",BI291,0)</f>
        <v>0</v>
      </c>
      <c r="AD291" s="24">
        <f>IF(AQ291="7",BH291,0)</f>
        <v>0</v>
      </c>
      <c r="AE291" s="24">
        <f>IF(AQ291="7",BI291,0)</f>
        <v>0</v>
      </c>
      <c r="AF291" s="24">
        <f>IF(AQ291="2",BH291,0)</f>
        <v>0</v>
      </c>
      <c r="AG291" s="24">
        <f>IF(AQ291="2",BI291,0)</f>
        <v>0</v>
      </c>
      <c r="AH291" s="24">
        <f>IF(AQ291="0",BJ291,0)</f>
        <v>0</v>
      </c>
      <c r="AI291" s="9" t="s">
        <v>405</v>
      </c>
      <c r="AJ291" s="24">
        <f>IF(AN291=0,L291,0)</f>
        <v>0</v>
      </c>
      <c r="AK291" s="24">
        <f>IF(AN291=15,L291,0)</f>
        <v>0</v>
      </c>
      <c r="AL291" s="24">
        <f>IF(AN291=21,L291,0)</f>
        <v>0</v>
      </c>
      <c r="AN291" s="24">
        <v>21</v>
      </c>
      <c r="AO291" s="24">
        <f>I291*0</f>
        <v>0</v>
      </c>
      <c r="AP291" s="24">
        <f>I291*(1-0)</f>
        <v>0</v>
      </c>
      <c r="AQ291" s="30" t="s">
        <v>563</v>
      </c>
      <c r="AV291" s="24">
        <f>AW291+AX291</f>
        <v>0</v>
      </c>
      <c r="AW291" s="24">
        <f>H291*AO291</f>
        <v>0</v>
      </c>
      <c r="AX291" s="24">
        <f>H291*AP291</f>
        <v>0</v>
      </c>
      <c r="AY291" s="30" t="s">
        <v>89</v>
      </c>
      <c r="AZ291" s="30" t="s">
        <v>507</v>
      </c>
      <c r="BA291" s="9" t="s">
        <v>441</v>
      </c>
      <c r="BC291" s="24">
        <f>AW291+AX291</f>
        <v>0</v>
      </c>
      <c r="BD291" s="24">
        <f>I291/(100-BE291)*100</f>
        <v>0</v>
      </c>
      <c r="BE291" s="24">
        <v>0</v>
      </c>
      <c r="BF291" s="24">
        <f>291</f>
        <v>291</v>
      </c>
      <c r="BH291" s="24">
        <f>H291*AO291</f>
        <v>0</v>
      </c>
      <c r="BI291" s="24">
        <f>H291*AP291</f>
        <v>0</v>
      </c>
      <c r="BJ291" s="24">
        <f>H291*I291</f>
        <v>0</v>
      </c>
      <c r="BK291" s="24"/>
      <c r="BL291" s="24"/>
    </row>
    <row r="292" spans="1:64" ht="15" customHeight="1">
      <c r="J292" s="60" t="s">
        <v>455</v>
      </c>
      <c r="K292" s="60"/>
      <c r="L292" s="23">
        <f>L12+L17+L24+L37+L52+L77+L98+L101+L110+L115+L120+L123+L132+L135+L139+L142+L158+L161+L174+L181+L216+L234+L239+L246+L249+L253+L260+L263+L266+L269+L275+L278+L287</f>
        <v>0</v>
      </c>
    </row>
    <row r="293" spans="1:64" ht="15" customHeight="1">
      <c r="A293" s="7" t="s">
        <v>47</v>
      </c>
    </row>
    <row r="294" spans="1:64" ht="12.75" customHeight="1">
      <c r="A294" s="58" t="s">
        <v>405</v>
      </c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</row>
  </sheetData>
  <mergeCells count="175">
    <mergeCell ref="C289:F289"/>
    <mergeCell ref="C290:F290"/>
    <mergeCell ref="C291:F291"/>
    <mergeCell ref="J292:K292"/>
    <mergeCell ref="A294:M294"/>
    <mergeCell ref="C279:F279"/>
    <mergeCell ref="C281:F281"/>
    <mergeCell ref="C283:F283"/>
    <mergeCell ref="C285:F285"/>
    <mergeCell ref="C287:F287"/>
    <mergeCell ref="C288:F288"/>
    <mergeCell ref="C270:F270"/>
    <mergeCell ref="C273:F273"/>
    <mergeCell ref="C274:F274"/>
    <mergeCell ref="C275:F275"/>
    <mergeCell ref="C276:F276"/>
    <mergeCell ref="C278:F278"/>
    <mergeCell ref="C261:F261"/>
    <mergeCell ref="C263:F263"/>
    <mergeCell ref="C264:F264"/>
    <mergeCell ref="C266:F266"/>
    <mergeCell ref="C267:F267"/>
    <mergeCell ref="C269:F269"/>
    <mergeCell ref="C247:F247"/>
    <mergeCell ref="C249:F249"/>
    <mergeCell ref="C250:F250"/>
    <mergeCell ref="C253:F253"/>
    <mergeCell ref="C254:F254"/>
    <mergeCell ref="C260:F260"/>
    <mergeCell ref="C237:F237"/>
    <mergeCell ref="C239:F239"/>
    <mergeCell ref="C240:F240"/>
    <mergeCell ref="C242:F242"/>
    <mergeCell ref="C244:F244"/>
    <mergeCell ref="C246:F246"/>
    <mergeCell ref="C225:F225"/>
    <mergeCell ref="C227:F227"/>
    <mergeCell ref="C230:F230"/>
    <mergeCell ref="C232:F232"/>
    <mergeCell ref="C234:F234"/>
    <mergeCell ref="C235:F235"/>
    <mergeCell ref="C215:F215"/>
    <mergeCell ref="C216:F216"/>
    <mergeCell ref="C217:F217"/>
    <mergeCell ref="C219:F219"/>
    <mergeCell ref="C221:F221"/>
    <mergeCell ref="C223:F223"/>
    <mergeCell ref="C205:F205"/>
    <mergeCell ref="C206:F206"/>
    <mergeCell ref="C209:F209"/>
    <mergeCell ref="C210:F210"/>
    <mergeCell ref="C211:F211"/>
    <mergeCell ref="C214:F214"/>
    <mergeCell ref="C199:F199"/>
    <mergeCell ref="C200:F200"/>
    <mergeCell ref="C201:F201"/>
    <mergeCell ref="C202:F202"/>
    <mergeCell ref="C203:F203"/>
    <mergeCell ref="C204:F204"/>
    <mergeCell ref="C182:F182"/>
    <mergeCell ref="C187:F187"/>
    <mergeCell ref="C188:F188"/>
    <mergeCell ref="C189:F189"/>
    <mergeCell ref="C190:F190"/>
    <mergeCell ref="C191:F191"/>
    <mergeCell ref="C170:F170"/>
    <mergeCell ref="C172:F172"/>
    <mergeCell ref="C174:F174"/>
    <mergeCell ref="C175:F175"/>
    <mergeCell ref="C179:F179"/>
    <mergeCell ref="C181:F181"/>
    <mergeCell ref="C159:F159"/>
    <mergeCell ref="C161:F161"/>
    <mergeCell ref="C162:F162"/>
    <mergeCell ref="C164:F164"/>
    <mergeCell ref="C166:F166"/>
    <mergeCell ref="C168:F168"/>
    <mergeCell ref="C143:F143"/>
    <mergeCell ref="C147:F147"/>
    <mergeCell ref="C150:F150"/>
    <mergeCell ref="C153:F153"/>
    <mergeCell ref="C155:F155"/>
    <mergeCell ref="C158:F158"/>
    <mergeCell ref="C133:F133"/>
    <mergeCell ref="C135:F135"/>
    <mergeCell ref="C136:F136"/>
    <mergeCell ref="C139:F139"/>
    <mergeCell ref="C140:F140"/>
    <mergeCell ref="C142:F142"/>
    <mergeCell ref="C120:F120"/>
    <mergeCell ref="C121:F121"/>
    <mergeCell ref="C123:F123"/>
    <mergeCell ref="C124:F124"/>
    <mergeCell ref="C128:F128"/>
    <mergeCell ref="C132:F132"/>
    <mergeCell ref="C110:F110"/>
    <mergeCell ref="C111:F111"/>
    <mergeCell ref="C113:F113"/>
    <mergeCell ref="C115:F115"/>
    <mergeCell ref="C116:F116"/>
    <mergeCell ref="C118:F118"/>
    <mergeCell ref="C99:F99"/>
    <mergeCell ref="C101:F101"/>
    <mergeCell ref="C102:F102"/>
    <mergeCell ref="C104:F104"/>
    <mergeCell ref="C106:F106"/>
    <mergeCell ref="C108:F108"/>
    <mergeCell ref="C84:F84"/>
    <mergeCell ref="C88:F88"/>
    <mergeCell ref="C92:F92"/>
    <mergeCell ref="C94:F94"/>
    <mergeCell ref="C96:F96"/>
    <mergeCell ref="C98:F98"/>
    <mergeCell ref="C67:F67"/>
    <mergeCell ref="C69:F69"/>
    <mergeCell ref="C73:F73"/>
    <mergeCell ref="C75:F75"/>
    <mergeCell ref="C77:F77"/>
    <mergeCell ref="C78:F78"/>
    <mergeCell ref="C52:F52"/>
    <mergeCell ref="C53:F53"/>
    <mergeCell ref="C56:F56"/>
    <mergeCell ref="C59:F59"/>
    <mergeCell ref="C62:F62"/>
    <mergeCell ref="C64:F64"/>
    <mergeCell ref="C40:F40"/>
    <mergeCell ref="C42:F42"/>
    <mergeCell ref="C44:F44"/>
    <mergeCell ref="C46:F46"/>
    <mergeCell ref="C48:F48"/>
    <mergeCell ref="C50:F50"/>
    <mergeCell ref="C29:F29"/>
    <mergeCell ref="C31:F31"/>
    <mergeCell ref="C33:F33"/>
    <mergeCell ref="C35:F35"/>
    <mergeCell ref="C37:F37"/>
    <mergeCell ref="C38:F38"/>
    <mergeCell ref="C18:F18"/>
    <mergeCell ref="C20:F20"/>
    <mergeCell ref="C22:F22"/>
    <mergeCell ref="C24:F24"/>
    <mergeCell ref="C25:F25"/>
    <mergeCell ref="C27:F27"/>
    <mergeCell ref="C11:F11"/>
    <mergeCell ref="J10:L10"/>
    <mergeCell ref="C12:F12"/>
    <mergeCell ref="C13:F13"/>
    <mergeCell ref="C15:F15"/>
    <mergeCell ref="C17:F17"/>
    <mergeCell ref="E8:E9"/>
    <mergeCell ref="G2:M3"/>
    <mergeCell ref="G4:M5"/>
    <mergeCell ref="G6:M7"/>
    <mergeCell ref="G8:M9"/>
    <mergeCell ref="C10:F10"/>
    <mergeCell ref="F4:F5"/>
    <mergeCell ref="F6:F7"/>
    <mergeCell ref="F8:F9"/>
    <mergeCell ref="C2:C3"/>
    <mergeCell ref="C4:C5"/>
    <mergeCell ref="C6:C7"/>
    <mergeCell ref="C8:C9"/>
    <mergeCell ref="E2:E3"/>
    <mergeCell ref="E4:E5"/>
    <mergeCell ref="E6:E7"/>
    <mergeCell ref="A1:M1"/>
    <mergeCell ref="A2:B3"/>
    <mergeCell ref="A4:B5"/>
    <mergeCell ref="A6:B7"/>
    <mergeCell ref="A8:B9"/>
    <mergeCell ref="D2:D3"/>
    <mergeCell ref="D4:D5"/>
    <mergeCell ref="D6:D7"/>
    <mergeCell ref="D8:D9"/>
    <mergeCell ref="F2:F3"/>
  </mergeCells>
  <pageMargins left="0.39400000000000002" right="0.39400000000000002" top="0.59099999999999997" bottom="0.59099999999999997" header="0" footer="0"/>
  <pageSetup paperSize="0" firstPageNumber="0" fitToHeight="0" orientation="landscape" useFirstPageNumber="1" horizontalDpi="0" verticalDpi="0" copies="0"/>
  <headerFooter alignWithMargin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I37"/>
  <sheetViews>
    <sheetView showOutlineSymbols="0" workbookViewId="0">
      <selection activeCell="A37" sqref="A37:I37"/>
    </sheetView>
  </sheetViews>
  <sheetFormatPr defaultColWidth="14.1640625" defaultRowHeight="15" customHeight="1"/>
  <cols>
    <col min="1" max="1" width="10.6640625"/>
    <col min="2" max="2" width="15"/>
    <col min="3" max="3" width="31.6640625"/>
    <col min="4" max="4" width="11.6640625"/>
    <col min="5" max="5" width="16.33203125"/>
    <col min="6" max="6" width="31.6640625"/>
    <col min="7" max="7" width="10.6640625"/>
    <col min="8" max="8" width="15"/>
    <col min="9" max="9" width="31.6640625"/>
  </cols>
  <sheetData>
    <row r="1" spans="1:9" ht="54.75" customHeight="1">
      <c r="A1" s="72" t="s">
        <v>136</v>
      </c>
      <c r="B1" s="51"/>
      <c r="C1" s="51"/>
      <c r="D1" s="51"/>
      <c r="E1" s="51"/>
      <c r="F1" s="51"/>
      <c r="G1" s="51"/>
      <c r="H1" s="51"/>
      <c r="I1" s="51"/>
    </row>
    <row r="2" spans="1:9" ht="15" customHeight="1">
      <c r="A2" s="52" t="s">
        <v>39</v>
      </c>
      <c r="B2" s="53"/>
      <c r="C2" s="59" t="str">
        <f>'Stavební rozpočet'!C2</f>
        <v>NOVÁ PŘÍPOJKA TERMÁLNÍ VODY PRO AQUACENTRUM TEPLICE</v>
      </c>
      <c r="D2" s="74"/>
      <c r="E2" s="57" t="s">
        <v>485</v>
      </c>
      <c r="F2" s="57" t="str">
        <f>'Stavební rozpočet'!G2</f>
        <v>AQUACENTRUM p.o., TEPLICE</v>
      </c>
      <c r="G2" s="53"/>
      <c r="H2" s="57" t="s">
        <v>376</v>
      </c>
      <c r="I2" s="61" t="s">
        <v>405</v>
      </c>
    </row>
    <row r="3" spans="1:9" ht="15" customHeight="1">
      <c r="A3" s="54"/>
      <c r="B3" s="55"/>
      <c r="C3" s="60"/>
      <c r="D3" s="60"/>
      <c r="E3" s="55"/>
      <c r="F3" s="55"/>
      <c r="G3" s="55"/>
      <c r="H3" s="55"/>
      <c r="I3" s="62"/>
    </row>
    <row r="4" spans="1:9" ht="15" customHeight="1">
      <c r="A4" s="56" t="s">
        <v>318</v>
      </c>
      <c r="B4" s="55"/>
      <c r="C4" s="58" t="str">
        <f>'Stavební rozpočet'!C4</f>
        <v>SO 01 - OTV z LDB do ČS</v>
      </c>
      <c r="D4" s="55"/>
      <c r="E4" s="58" t="s">
        <v>403</v>
      </c>
      <c r="F4" s="58" t="str">
        <f>'Stavební rozpočet'!G4</f>
        <v>CHEMINVEST</v>
      </c>
      <c r="G4" s="55"/>
      <c r="H4" s="58" t="s">
        <v>376</v>
      </c>
      <c r="I4" s="62" t="s">
        <v>405</v>
      </c>
    </row>
    <row r="5" spans="1:9" ht="15" customHeight="1">
      <c r="A5" s="54"/>
      <c r="B5" s="55"/>
      <c r="C5" s="55"/>
      <c r="D5" s="55"/>
      <c r="E5" s="55"/>
      <c r="F5" s="55"/>
      <c r="G5" s="55"/>
      <c r="H5" s="55"/>
      <c r="I5" s="62"/>
    </row>
    <row r="6" spans="1:9" ht="15" customHeight="1">
      <c r="A6" s="56" t="s">
        <v>49</v>
      </c>
      <c r="B6" s="55"/>
      <c r="C6" s="58" t="str">
        <f>'Stavební rozpočet'!C6</f>
        <v>AQUACENTRUM TEPLICE</v>
      </c>
      <c r="D6" s="55"/>
      <c r="E6" s="58" t="s">
        <v>501</v>
      </c>
      <c r="F6" s="58" t="str">
        <f>'Stavební rozpočet'!G6</f>
        <v> </v>
      </c>
      <c r="G6" s="55"/>
      <c r="H6" s="58" t="s">
        <v>376</v>
      </c>
      <c r="I6" s="62" t="s">
        <v>405</v>
      </c>
    </row>
    <row r="7" spans="1:9" ht="15" customHeight="1">
      <c r="A7" s="54"/>
      <c r="B7" s="55"/>
      <c r="C7" s="55"/>
      <c r="D7" s="55"/>
      <c r="E7" s="55"/>
      <c r="F7" s="55"/>
      <c r="G7" s="55"/>
      <c r="H7" s="55"/>
      <c r="I7" s="62"/>
    </row>
    <row r="8" spans="1:9" ht="15" customHeight="1">
      <c r="A8" s="56" t="s">
        <v>510</v>
      </c>
      <c r="B8" s="55"/>
      <c r="C8" s="58" t="str">
        <f>'Stavební rozpočet'!E4</f>
        <v>23.01.2023</v>
      </c>
      <c r="D8" s="55"/>
      <c r="E8" s="58" t="s">
        <v>180</v>
      </c>
      <c r="F8" s="58" t="str">
        <f>'Stavební rozpočet'!E6</f>
        <v xml:space="preserve"> </v>
      </c>
      <c r="G8" s="55"/>
      <c r="H8" s="55" t="s">
        <v>574</v>
      </c>
      <c r="I8" s="75">
        <v>112</v>
      </c>
    </row>
    <row r="9" spans="1:9" ht="15" customHeight="1">
      <c r="A9" s="54"/>
      <c r="B9" s="55"/>
      <c r="C9" s="55"/>
      <c r="D9" s="55"/>
      <c r="E9" s="55"/>
      <c r="F9" s="55"/>
      <c r="G9" s="55"/>
      <c r="H9" s="55"/>
      <c r="I9" s="62"/>
    </row>
    <row r="10" spans="1:9" ht="15" customHeight="1">
      <c r="A10" s="56" t="s">
        <v>281</v>
      </c>
      <c r="B10" s="55"/>
      <c r="C10" s="58" t="str">
        <f>'Stavební rozpočet'!C8</f>
        <v xml:space="preserve"> </v>
      </c>
      <c r="D10" s="55"/>
      <c r="E10" s="58" t="s">
        <v>387</v>
      </c>
      <c r="F10" s="58" t="str">
        <f>'Stavební rozpočet'!G8</f>
        <v>Kamila Možná</v>
      </c>
      <c r="G10" s="55"/>
      <c r="H10" s="55" t="s">
        <v>549</v>
      </c>
      <c r="I10" s="76" t="str">
        <f>'Stavební rozpočet'!E8</f>
        <v>20.01.2023</v>
      </c>
    </row>
    <row r="11" spans="1:9" ht="15" customHeight="1">
      <c r="A11" s="73"/>
      <c r="B11" s="71"/>
      <c r="C11" s="71"/>
      <c r="D11" s="71"/>
      <c r="E11" s="71"/>
      <c r="F11" s="71"/>
      <c r="G11" s="71"/>
      <c r="H11" s="71"/>
      <c r="I11" s="77"/>
    </row>
    <row r="12" spans="1:9" ht="22.5" customHeight="1">
      <c r="A12" s="78" t="s">
        <v>96</v>
      </c>
      <c r="B12" s="78"/>
      <c r="C12" s="78"/>
      <c r="D12" s="78"/>
      <c r="E12" s="78"/>
      <c r="F12" s="78"/>
      <c r="G12" s="78"/>
      <c r="H12" s="78"/>
      <c r="I12" s="78"/>
    </row>
    <row r="13" spans="1:9" ht="26.25" customHeight="1">
      <c r="A13" s="37" t="s">
        <v>513</v>
      </c>
      <c r="B13" s="79" t="s">
        <v>73</v>
      </c>
      <c r="C13" s="80"/>
      <c r="D13" s="1" t="s">
        <v>106</v>
      </c>
      <c r="E13" s="79" t="s">
        <v>207</v>
      </c>
      <c r="F13" s="80"/>
      <c r="G13" s="1" t="s">
        <v>368</v>
      </c>
      <c r="H13" s="79" t="s">
        <v>107</v>
      </c>
      <c r="I13" s="80"/>
    </row>
    <row r="14" spans="1:9" ht="15" customHeight="1">
      <c r="A14" s="32" t="s">
        <v>212</v>
      </c>
      <c r="B14" s="13" t="s">
        <v>145</v>
      </c>
      <c r="C14" s="25">
        <f>SUM('Stavební rozpočet'!AB12:AB291)</f>
        <v>0</v>
      </c>
      <c r="D14" s="87" t="s">
        <v>419</v>
      </c>
      <c r="E14" s="88"/>
      <c r="F14" s="25">
        <v>0</v>
      </c>
      <c r="G14" s="87" t="s">
        <v>58</v>
      </c>
      <c r="H14" s="88"/>
      <c r="I14" s="15" t="s">
        <v>307</v>
      </c>
    </row>
    <row r="15" spans="1:9" ht="15" customHeight="1">
      <c r="A15" s="28" t="s">
        <v>405</v>
      </c>
      <c r="B15" s="13" t="s">
        <v>114</v>
      </c>
      <c r="C15" s="25">
        <f>SUM('Stavební rozpočet'!AC12:AC291)</f>
        <v>0</v>
      </c>
      <c r="D15" s="87" t="s">
        <v>56</v>
      </c>
      <c r="E15" s="88"/>
      <c r="F15" s="25">
        <v>0</v>
      </c>
      <c r="G15" s="87" t="s">
        <v>456</v>
      </c>
      <c r="H15" s="88"/>
      <c r="I15" s="15" t="s">
        <v>307</v>
      </c>
    </row>
    <row r="16" spans="1:9" ht="15" customHeight="1">
      <c r="A16" s="32" t="s">
        <v>53</v>
      </c>
      <c r="B16" s="13" t="s">
        <v>145</v>
      </c>
      <c r="C16" s="25">
        <f>SUM('Stavební rozpočet'!AD12:AD291)</f>
        <v>0</v>
      </c>
      <c r="D16" s="87" t="s">
        <v>430</v>
      </c>
      <c r="E16" s="88"/>
      <c r="F16" s="25">
        <v>0</v>
      </c>
      <c r="G16" s="87" t="s">
        <v>545</v>
      </c>
      <c r="H16" s="88"/>
      <c r="I16" s="15" t="s">
        <v>307</v>
      </c>
    </row>
    <row r="17" spans="1:9" ht="15" customHeight="1">
      <c r="A17" s="28" t="s">
        <v>405</v>
      </c>
      <c r="B17" s="13" t="s">
        <v>114</v>
      </c>
      <c r="C17" s="25">
        <f>SUM('Stavební rozpočet'!AE12:AE291)</f>
        <v>0</v>
      </c>
      <c r="D17" s="87" t="s">
        <v>405</v>
      </c>
      <c r="E17" s="88"/>
      <c r="F17" s="15" t="s">
        <v>405</v>
      </c>
      <c r="G17" s="87" t="s">
        <v>310</v>
      </c>
      <c r="H17" s="88"/>
      <c r="I17" s="15" t="s">
        <v>307</v>
      </c>
    </row>
    <row r="18" spans="1:9" ht="15" customHeight="1">
      <c r="A18" s="32" t="s">
        <v>169</v>
      </c>
      <c r="B18" s="13" t="s">
        <v>145</v>
      </c>
      <c r="C18" s="25">
        <f>SUM('Stavební rozpočet'!AF12:AF291)</f>
        <v>0</v>
      </c>
      <c r="D18" s="87" t="s">
        <v>405</v>
      </c>
      <c r="E18" s="88"/>
      <c r="F18" s="15" t="s">
        <v>405</v>
      </c>
      <c r="G18" s="87" t="s">
        <v>378</v>
      </c>
      <c r="H18" s="88"/>
      <c r="I18" s="15" t="s">
        <v>307</v>
      </c>
    </row>
    <row r="19" spans="1:9" ht="15" customHeight="1">
      <c r="A19" s="28" t="s">
        <v>405</v>
      </c>
      <c r="B19" s="13" t="s">
        <v>114</v>
      </c>
      <c r="C19" s="25">
        <f>SUM('Stavební rozpočet'!AG12:AG291)</f>
        <v>0</v>
      </c>
      <c r="D19" s="87" t="s">
        <v>405</v>
      </c>
      <c r="E19" s="88"/>
      <c r="F19" s="15" t="s">
        <v>405</v>
      </c>
      <c r="G19" s="87" t="s">
        <v>561</v>
      </c>
      <c r="H19" s="88"/>
      <c r="I19" s="15" t="s">
        <v>307</v>
      </c>
    </row>
    <row r="20" spans="1:9" ht="15" customHeight="1">
      <c r="A20" s="81" t="s">
        <v>40</v>
      </c>
      <c r="B20" s="82"/>
      <c r="C20" s="25">
        <f>SUM('Stavební rozpočet'!AH12:AH291)</f>
        <v>0</v>
      </c>
      <c r="D20" s="87" t="s">
        <v>405</v>
      </c>
      <c r="E20" s="88"/>
      <c r="F20" s="15" t="s">
        <v>405</v>
      </c>
      <c r="G20" s="87" t="s">
        <v>405</v>
      </c>
      <c r="H20" s="88"/>
      <c r="I20" s="15" t="s">
        <v>405</v>
      </c>
    </row>
    <row r="21" spans="1:9" ht="15" customHeight="1">
      <c r="A21" s="83" t="s">
        <v>560</v>
      </c>
      <c r="B21" s="84"/>
      <c r="C21" s="5">
        <f>SUM('Stavební rozpočet'!Z12:Z291)</f>
        <v>0</v>
      </c>
      <c r="D21" s="89" t="s">
        <v>405</v>
      </c>
      <c r="E21" s="90"/>
      <c r="F21" s="22" t="s">
        <v>405</v>
      </c>
      <c r="G21" s="89" t="s">
        <v>405</v>
      </c>
      <c r="H21" s="90"/>
      <c r="I21" s="22" t="s">
        <v>405</v>
      </c>
    </row>
    <row r="22" spans="1:9" ht="16.5" customHeight="1">
      <c r="A22" s="85" t="s">
        <v>117</v>
      </c>
      <c r="B22" s="86"/>
      <c r="C22" s="6">
        <f>SUM(C14:C21)</f>
        <v>0</v>
      </c>
      <c r="D22" s="91" t="s">
        <v>299</v>
      </c>
      <c r="E22" s="86"/>
      <c r="F22" s="6">
        <f>SUM(F14:F21)</f>
        <v>0</v>
      </c>
      <c r="G22" s="91" t="s">
        <v>575</v>
      </c>
      <c r="H22" s="86"/>
      <c r="I22" s="6">
        <f>SUM(I14:I21)</f>
        <v>0</v>
      </c>
    </row>
    <row r="23" spans="1:9" ht="15" customHeight="1">
      <c r="D23" s="81" t="s">
        <v>460</v>
      </c>
      <c r="E23" s="82"/>
      <c r="F23" s="43">
        <v>0</v>
      </c>
      <c r="G23" s="92" t="s">
        <v>31</v>
      </c>
      <c r="H23" s="82"/>
      <c r="I23" s="25">
        <v>0</v>
      </c>
    </row>
    <row r="24" spans="1:9" ht="15" customHeight="1">
      <c r="G24" s="81" t="s">
        <v>404</v>
      </c>
      <c r="H24" s="82"/>
    </row>
    <row r="25" spans="1:9" ht="15" customHeight="1">
      <c r="G25" s="81" t="s">
        <v>442</v>
      </c>
      <c r="H25" s="82"/>
      <c r="I25" s="6">
        <v>0</v>
      </c>
    </row>
    <row r="27" spans="1:9" ht="15" customHeight="1">
      <c r="A27" s="93" t="s">
        <v>233</v>
      </c>
      <c r="B27" s="94"/>
      <c r="C27" s="36">
        <f>SUM('Stavební rozpočet'!AJ12:AJ291)</f>
        <v>0</v>
      </c>
    </row>
    <row r="28" spans="1:9" ht="15" customHeight="1">
      <c r="A28" s="95" t="s">
        <v>10</v>
      </c>
      <c r="B28" s="96"/>
      <c r="C28" s="38">
        <f>SUM('Stavební rozpočet'!AK12:AK291)</f>
        <v>0</v>
      </c>
      <c r="D28" s="94" t="s">
        <v>130</v>
      </c>
      <c r="E28" s="94"/>
      <c r="F28" s="36">
        <f>ROUND(C28*(15/100),2)</f>
        <v>0</v>
      </c>
      <c r="G28" s="94" t="s">
        <v>83</v>
      </c>
      <c r="H28" s="94"/>
      <c r="I28" s="36">
        <f>SUM(C27:C29)</f>
        <v>0</v>
      </c>
    </row>
    <row r="29" spans="1:9" ht="15" customHeight="1">
      <c r="A29" s="95" t="s">
        <v>28</v>
      </c>
      <c r="B29" s="96"/>
      <c r="C29" s="38">
        <f>SUM('Stavební rozpočet'!AL12:AL291)+(F22+I22+F23+I23+I24+I25)</f>
        <v>0</v>
      </c>
      <c r="D29" s="96" t="s">
        <v>434</v>
      </c>
      <c r="E29" s="96"/>
      <c r="F29" s="38">
        <f>ROUND(C29*(21/100),2)</f>
        <v>0</v>
      </c>
      <c r="G29" s="96" t="s">
        <v>231</v>
      </c>
      <c r="H29" s="96"/>
      <c r="I29" s="38">
        <f>SUM(F28:F29)+I28</f>
        <v>0</v>
      </c>
    </row>
    <row r="31" spans="1:9" ht="15" customHeight="1">
      <c r="A31" s="97" t="s">
        <v>7</v>
      </c>
      <c r="B31" s="98"/>
      <c r="C31" s="99"/>
      <c r="D31" s="98" t="s">
        <v>537</v>
      </c>
      <c r="E31" s="98"/>
      <c r="F31" s="99"/>
      <c r="G31" s="98" t="s">
        <v>397</v>
      </c>
      <c r="H31" s="98"/>
      <c r="I31" s="99"/>
    </row>
    <row r="32" spans="1:9" ht="15" customHeight="1">
      <c r="A32" s="100" t="s">
        <v>405</v>
      </c>
      <c r="B32" s="89"/>
      <c r="C32" s="101"/>
      <c r="D32" s="89" t="s">
        <v>405</v>
      </c>
      <c r="E32" s="89"/>
      <c r="F32" s="101"/>
      <c r="G32" s="89" t="s">
        <v>405</v>
      </c>
      <c r="H32" s="89"/>
      <c r="I32" s="101"/>
    </row>
    <row r="33" spans="1:9" ht="15" customHeight="1">
      <c r="A33" s="100" t="s">
        <v>405</v>
      </c>
      <c r="B33" s="89"/>
      <c r="C33" s="101"/>
      <c r="D33" s="89" t="s">
        <v>405</v>
      </c>
      <c r="E33" s="89"/>
      <c r="F33" s="101"/>
      <c r="G33" s="89" t="s">
        <v>405</v>
      </c>
      <c r="H33" s="89"/>
      <c r="I33" s="101"/>
    </row>
    <row r="34" spans="1:9" ht="15" customHeight="1">
      <c r="A34" s="100" t="s">
        <v>405</v>
      </c>
      <c r="B34" s="89"/>
      <c r="C34" s="101"/>
      <c r="D34" s="89" t="s">
        <v>405</v>
      </c>
      <c r="E34" s="89"/>
      <c r="F34" s="101"/>
      <c r="G34" s="89" t="s">
        <v>405</v>
      </c>
      <c r="H34" s="89"/>
      <c r="I34" s="101"/>
    </row>
    <row r="35" spans="1:9" ht="15" customHeight="1">
      <c r="A35" s="102" t="s">
        <v>115</v>
      </c>
      <c r="B35" s="103"/>
      <c r="C35" s="104"/>
      <c r="D35" s="103" t="s">
        <v>115</v>
      </c>
      <c r="E35" s="103"/>
      <c r="F35" s="104"/>
      <c r="G35" s="103" t="s">
        <v>115</v>
      </c>
      <c r="H35" s="103"/>
      <c r="I35" s="104"/>
    </row>
    <row r="36" spans="1:9" ht="15" customHeight="1">
      <c r="A36" s="7" t="s">
        <v>47</v>
      </c>
    </row>
    <row r="37" spans="1:9" ht="12.75" customHeight="1">
      <c r="A37" s="58" t="s">
        <v>405</v>
      </c>
      <c r="B37" s="55"/>
      <c r="C37" s="55"/>
      <c r="D37" s="55"/>
      <c r="E37" s="55"/>
      <c r="F37" s="55"/>
      <c r="G37" s="55"/>
      <c r="H37" s="55"/>
      <c r="I37" s="55"/>
    </row>
  </sheetData>
  <mergeCells count="83">
    <mergeCell ref="G31:I31"/>
    <mergeCell ref="G32:I32"/>
    <mergeCell ref="G33:I33"/>
    <mergeCell ref="G34:I34"/>
    <mergeCell ref="G35:I35"/>
    <mergeCell ref="A37:I37"/>
    <mergeCell ref="A31:C31"/>
    <mergeCell ref="A32:C32"/>
    <mergeCell ref="A33:C33"/>
    <mergeCell ref="A34:C34"/>
    <mergeCell ref="A35:C35"/>
    <mergeCell ref="D31:F31"/>
    <mergeCell ref="D32:F32"/>
    <mergeCell ref="D33:F33"/>
    <mergeCell ref="D34:F34"/>
    <mergeCell ref="D35:F35"/>
    <mergeCell ref="A27:B27"/>
    <mergeCell ref="A28:B28"/>
    <mergeCell ref="A29:B29"/>
    <mergeCell ref="D28:E28"/>
    <mergeCell ref="D29:E29"/>
    <mergeCell ref="G28:H28"/>
    <mergeCell ref="G29:H29"/>
    <mergeCell ref="G20:H20"/>
    <mergeCell ref="G21:H21"/>
    <mergeCell ref="G22:H22"/>
    <mergeCell ref="G23:H23"/>
    <mergeCell ref="G24:H24"/>
    <mergeCell ref="G25:H25"/>
    <mergeCell ref="G14:H14"/>
    <mergeCell ref="G15:H15"/>
    <mergeCell ref="G16:H16"/>
    <mergeCell ref="G17:H17"/>
    <mergeCell ref="G18:H18"/>
    <mergeCell ref="G19:H19"/>
    <mergeCell ref="D18:E18"/>
    <mergeCell ref="D19:E19"/>
    <mergeCell ref="D20:E20"/>
    <mergeCell ref="D21:E21"/>
    <mergeCell ref="D22:E22"/>
    <mergeCell ref="D23:E23"/>
    <mergeCell ref="B13:C13"/>
    <mergeCell ref="E13:F13"/>
    <mergeCell ref="H13:I13"/>
    <mergeCell ref="A20:B20"/>
    <mergeCell ref="A21:B21"/>
    <mergeCell ref="A22:B22"/>
    <mergeCell ref="D14:E14"/>
    <mergeCell ref="D15:E15"/>
    <mergeCell ref="D16:E16"/>
    <mergeCell ref="D17:E17"/>
    <mergeCell ref="I2:I3"/>
    <mergeCell ref="I4:I5"/>
    <mergeCell ref="I6:I7"/>
    <mergeCell ref="I8:I9"/>
    <mergeCell ref="I10:I11"/>
    <mergeCell ref="A12:I12"/>
    <mergeCell ref="F2:G3"/>
    <mergeCell ref="F4:G5"/>
    <mergeCell ref="F6:G7"/>
    <mergeCell ref="F8:G9"/>
    <mergeCell ref="F10:G11"/>
    <mergeCell ref="H2:H3"/>
    <mergeCell ref="H4:H5"/>
    <mergeCell ref="H6:H7"/>
    <mergeCell ref="H8:H9"/>
    <mergeCell ref="H10:H11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</mergeCells>
  <pageMargins left="0.39400000000000002" right="0.39400000000000002" top="0.59099999999999997" bottom="0.59099999999999997" header="0" footer="0"/>
  <pageSetup paperSize="0" firstPageNumber="0" orientation="landscape" useFirstPageNumber="1" horizontalDpi="0" verticalDpi="0" copies="0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Kamila</cp:lastModifiedBy>
  <dcterms:created xsi:type="dcterms:W3CDTF">2021-06-10T20:06:38Z</dcterms:created>
  <dcterms:modified xsi:type="dcterms:W3CDTF">2023-05-15T06:17:51Z</dcterms:modified>
</cp:coreProperties>
</file>